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70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'Локальная смета 12 гр. Для Т'!$25:$25</definedName>
    <definedName name="_xlnm.Print_Area" localSheetId="0">'Локальная смета 12 гр. Для Т'!$A$1:$L$114</definedName>
  </definedNames>
  <calcPr fullCalcOnLoad="1"/>
</workbook>
</file>

<file path=xl/sharedStrings.xml><?xml version="1.0" encoding="utf-8"?>
<sst xmlns="http://schemas.openxmlformats.org/spreadsheetml/2006/main" count="1744" uniqueCount="419">
  <si>
    <t>Smeta.ru  (495) 974-1589</t>
  </si>
  <si>
    <t>_PS_</t>
  </si>
  <si>
    <t>Smeta.ru</t>
  </si>
  <si>
    <t/>
  </si>
  <si>
    <t>Новый объект</t>
  </si>
  <si>
    <t>Перегородки техподполья</t>
  </si>
  <si>
    <t>Мособлгосэкспертиза</t>
  </si>
  <si>
    <t>Сметные нормы списания</t>
  </si>
  <si>
    <t>Коды ценников</t>
  </si>
  <si>
    <t>ТЕР Строительство</t>
  </si>
  <si>
    <t>Тип. расчёт(с 0.94) для норм 2001 года  МДС 81.33-2004 и МДС 81.25-99</t>
  </si>
  <si>
    <t>Московская область</t>
  </si>
  <si>
    <t>Поправки для НБ 2001 нов МДС  для вер.2 с параметрами</t>
  </si>
  <si>
    <t>Новая локальная смета</t>
  </si>
  <si>
    <t>{C28C2774-E17E-4BEA-9D9B-53DE1259E48A}</t>
  </si>
  <si>
    <t>Новый раздел</t>
  </si>
  <si>
    <t>Внутренние перегородки техподполья</t>
  </si>
  <si>
    <t>{B5130126-D9C9-4145-BE48-B0F7AD6CA67E}</t>
  </si>
  <si>
    <t>1</t>
  </si>
  <si>
    <t>08-02-002-3</t>
  </si>
  <si>
    <t>Кладка перегородок из кирпича армированных толщиной в 1/2 кирпича при высоте этажа до 4 м</t>
  </si>
  <si>
    <t>100 м2</t>
  </si>
  <si>
    <t>ТЕР Московской обл.,сб.08,гл.02,табл.002,поз.3</t>
  </si>
  <si>
    <t>100 м2 перегородок (за вычетом проемов)</t>
  </si>
  <si>
    <t>Общестроительные работы</t>
  </si>
  <si>
    <t>Конструкции из кирпича и блоков в жилищно-гражданских зданиях</t>
  </si>
  <si>
    <t>8</t>
  </si>
  <si>
    <t>01. Заготовка и установка арматуры при кладке армированных перегородок (нормы 1-4). 02. Кладка конструк-ций из кирпича.</t>
  </si>
  <si>
    <t>2</t>
  </si>
  <si>
    <t>08-02-001-7</t>
  </si>
  <si>
    <t>Кладка стен кирпичных внутренних при высоте этажа до 4 м</t>
  </si>
  <si>
    <t>м3</t>
  </si>
  <si>
    <t>ТЕР Московской обл.,сб.08,гл.02,табл.001,поз.7</t>
  </si>
  <si>
    <t>1 м3 кладки</t>
  </si>
  <si>
    <t>4</t>
  </si>
  <si>
    <t>08-04-001-9</t>
  </si>
  <si>
    <t>Установка перегородок из гипсовых пазогребневых плит в 1 слой при высоте этажа до 4 м</t>
  </si>
  <si>
    <t>ТЕР Московской обл.,сб.08,гл.04,табл.001,поз.9</t>
  </si>
  <si>
    <t>01. Выравнивание готового основания раствором. 02. Установка плит и каркасов (нормы 1-8). 03. Постановка металлических креплений. 04. Заделка швов.</t>
  </si>
  <si>
    <t>4,1</t>
  </si>
  <si>
    <t>101-9086-2</t>
  </si>
  <si>
    <t>Сетка арматурная дорожная, кладочная, с квадратной ячейкой 50 мм, диаметром 4 мм</t>
  </si>
  <si>
    <t>т</t>
  </si>
  <si>
    <t>ССЦ Московской обл.,сб.101,поз.9086-2</t>
  </si>
  <si>
    <t>Материалы</t>
  </si>
  <si>
    <t>Материалы, изделия и конструкции</t>
  </si>
  <si>
    <t>материалы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</si>
  <si>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</si>
  <si>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</si>
  <si>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</si>
  <si>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</si>
  <si>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</si>
  <si>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</si>
  <si>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</si>
  <si>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</si>
  <si>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</si>
  <si>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</si>
  <si>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</si>
  <si>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</si>
  <si>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</si>
  <si>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</si>
  <si>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</si>
  <si>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</si>
  <si>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</si>
  <si>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</si>
  <si>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</si>
  <si>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</si>
  <si>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</si>
  <si>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</si>
  <si>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Стены косоуры лестниц с 1-го этажа на 2 -й и в техподполье</t>
  </si>
  <si>
    <t>{9CD691C3-9194-42D6-B0A9-E03303BC9E85}</t>
  </si>
  <si>
    <t>07-05-015-1</t>
  </si>
  <si>
    <t>Устройство лестниц по готовому основанию из отдельных ступеней гладких</t>
  </si>
  <si>
    <t>100 м</t>
  </si>
  <si>
    <t>ТЕР Московской обл.,сб.07,гл.05,табл.015,поз.1</t>
  </si>
  <si>
    <t>100 м ступеней</t>
  </si>
  <si>
    <t>Бетонные и железобетонные сборные конструкции в жилищно-гражданском строительстве</t>
  </si>
  <si>
    <t>7-2</t>
  </si>
  <si>
    <t>01. Укладка ступеней на цементном растворе. 02. Подшлифовка ступеней (норма 2).</t>
  </si>
  <si>
    <t>3</t>
  </si>
  <si>
    <t>06-01-041-1</t>
  </si>
  <si>
    <t>Устройство перекрытий безбалочных толщиной до 200 мм, на высоте от опорной площади до 6 м</t>
  </si>
  <si>
    <t>100 м3</t>
  </si>
  <si>
    <t>ТЕР Московской обл.,сб.06,гл.01,табл.041,поз.1</t>
  </si>
  <si>
    <t>100 м3  железобетона в деле</t>
  </si>
  <si>
    <t>Бетонные и железобетонные монолитные конструкции в промышленном строительстве</t>
  </si>
  <si>
    <t>6-1</t>
  </si>
  <si>
    <t>01. Раскрой и установка брусьев, брусков и досок. 02. Установка щитов опалубки. 03. Крепление элементов опалубки проволокой и гвоздями строительными. 04. Установка и сварка арматуры. 05. Укладка бетонной смеси.</t>
  </si>
  <si>
    <t>3,1</t>
  </si>
  <si>
    <t>401-0066</t>
  </si>
  <si>
    <t>Бетон тяжелый, крупность заполнителя 20 мм, класс В 15 (М200)</t>
  </si>
  <si>
    <t>ССЦ Московской обл.,сб.401,поз.0066</t>
  </si>
  <si>
    <t>3,2</t>
  </si>
  <si>
    <t>Цена поставщика</t>
  </si>
  <si>
    <t>Бетон тяжелый, крупность заполнителя 20 мм, класс В 25 (М300)</t>
  </si>
  <si>
    <t>ССЦ Московской обл.,сб.401,поз.0069</t>
  </si>
  <si>
    <t>ИТОГ1</t>
  </si>
  <si>
    <t>ПРЯМЫЕ ЗАТРАТЫ</t>
  </si>
  <si>
    <t>ИТОГ2</t>
  </si>
  <si>
    <t>НАКЛАДНЫЕ  РАСХОДЫ</t>
  </si>
  <si>
    <t>ИТОГ3</t>
  </si>
  <si>
    <t>СМЕТНАЯ ПРИБЫЛЬ</t>
  </si>
  <si>
    <t>ИТОГ4</t>
  </si>
  <si>
    <t>ИТОГО</t>
  </si>
  <si>
    <t>труд</t>
  </si>
  <si>
    <t>Трудоемкость</t>
  </si>
  <si>
    <t>фот</t>
  </si>
  <si>
    <t>Фонд оплаты труда</t>
  </si>
  <si>
    <t>ЗУ</t>
  </si>
  <si>
    <t>ЗИМНЕЕ УДОРОЖАНИЕ %</t>
  </si>
  <si>
    <t>проставьте % ЗУ</t>
  </si>
  <si>
    <t>ИТОГ5</t>
  </si>
  <si>
    <t>С ЗИМНИМ УДОРОЖАНИЕМ</t>
  </si>
  <si>
    <t>ИТОГ6</t>
  </si>
  <si>
    <t>ВРЕМЕННЫЕ СООРУЖЕНИЯ %</t>
  </si>
  <si>
    <t>проставьте % временных сооружений</t>
  </si>
  <si>
    <t>ИТОГ7</t>
  </si>
  <si>
    <t>ИТОГО С ВРЕМЕННЫМИ</t>
  </si>
  <si>
    <t>ИТОГ8</t>
  </si>
  <si>
    <t>НДС 18%</t>
  </si>
  <si>
    <t>ВСЕГО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</si>
  <si>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</si>
  <si>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</si>
  <si>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</si>
  <si>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</si>
  <si>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</si>
  <si>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</si>
  <si>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</si>
  <si>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</si>
  <si>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</si>
  <si>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</si>
  <si>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</si>
  <si>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</si>
  <si>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</si>
  <si>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</si>
  <si>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</si>
  <si>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</si>
  <si>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</si>
  <si>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</si>
  <si>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</si>
  <si>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</si>
  <si>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</si>
  <si>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</si>
  <si>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</si>
  <si>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</si>
  <si>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</si>
  <si>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</si>
  <si>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</si>
  <si>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</si>
  <si>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</si>
  <si>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</si>
  <si>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</si>
  <si>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</si>
  <si>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</si>
  <si>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</si>
  <si>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</si>
  <si>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</si>
  <si>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</si>
  <si>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</si>
  <si>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</si>
  <si>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</si>
  <si>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</si>
  <si>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</si>
  <si>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</si>
  <si>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</si>
  <si>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</si>
  <si>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</si>
  <si>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</si>
  <si>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</si>
  <si>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</si>
  <si>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</si>
  <si>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</si>
  <si>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</si>
  <si>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</si>
  <si>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</si>
  <si>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</si>
  <si>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</si>
  <si>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</si>
  <si>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</si>
  <si>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</si>
  <si>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</si>
  <si>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</si>
  <si>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</si>
  <si>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</si>
  <si>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</si>
  <si>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</si>
  <si>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</si>
  <si>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</si>
  <si>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</si>
  <si>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</si>
  <si>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</si>
  <si>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</si>
  <si>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</si>
  <si>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</si>
  <si>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</si>
  <si>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</si>
  <si>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</si>
  <si>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</si>
  <si>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</si>
  <si>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</si>
  <si>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</si>
  <si>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</si>
  <si>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</si>
  <si>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</si>
  <si>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</si>
  <si>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</si>
  <si>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</si>
  <si>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</si>
  <si>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</si>
  <si>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</si>
  <si>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</si>
  <si>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</si>
  <si>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</si>
  <si>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</si>
  <si>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</si>
  <si>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</si>
  <si>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</si>
  <si>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</si>
  <si>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</si>
  <si>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</si>
  <si>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</si>
  <si>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</si>
  <si>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</si>
  <si>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</si>
  <si>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</si>
  <si>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</si>
  <si>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</si>
  <si>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</si>
  <si>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</si>
  <si>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</si>
  <si>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</si>
  <si>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</si>
  <si>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</si>
  <si>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</si>
  <si>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</si>
  <si>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</si>
  <si>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</si>
  <si>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</si>
  <si>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</si>
  <si>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</si>
  <si>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</si>
  <si>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</si>
  <si>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</si>
  <si>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</si>
  <si>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</si>
  <si>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</si>
  <si>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</si>
  <si>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</si>
  <si>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</si>
  <si>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1-3.0-50</t>
  </si>
  <si>
    <t>Затраты труда рабочих, разряд работ 3.0</t>
  </si>
  <si>
    <t>чел.-ч</t>
  </si>
  <si>
    <t>Затраты труда машинистов</t>
  </si>
  <si>
    <t>чел.час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</si>
  <si>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</si>
  <si>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</si>
  <si>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</si>
  <si>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маш.-ч</t>
  </si>
  <si>
    <t>400001</t>
  </si>
  <si>
    <t>451114</t>
  </si>
  <si>
    <t>Автомобили бортовые грузоподъемностью до 5 т</t>
  </si>
  <si>
    <t>101-0782</t>
  </si>
  <si>
    <t>ССЦ Московской обл.,сб.101,поз.0782</t>
  </si>
  <si>
    <t>Поковки из квадратных заготовок массой 1.8 кг</t>
  </si>
  <si>
    <t>102-0026</t>
  </si>
  <si>
    <t>ССЦ Московской обл.,сб.102,поз.0026</t>
  </si>
  <si>
    <t>Пиломатериалы хвойных пород. Бруски обрезные длиной 4-6.5 м,  шириной 75-150 мм, толщиной 40-75 мм IV сорта</t>
  </si>
  <si>
    <t>204-0100</t>
  </si>
  <si>
    <t>ССЦ Московской обл.,сб.204,поз.0100</t>
  </si>
  <si>
    <t>Горячекатаная арматурная сталь класса А-I, А-II, А-III</t>
  </si>
  <si>
    <t>402-0012</t>
  </si>
  <si>
    <t>ССЦ Московской обл.,сб.402,поз.0012</t>
  </si>
  <si>
    <t>Раствор готовый кладочный цементно-известковый, марка 25</t>
  </si>
  <si>
    <t>404-0005</t>
  </si>
  <si>
    <t>ССЦ Московской обл.,сб.404,поз.0005</t>
  </si>
  <si>
    <t>Кирпич керамический одинарный, размером 250х120х65 мм, марка 100</t>
  </si>
  <si>
    <t>1000 шт.</t>
  </si>
  <si>
    <t>411-0001</t>
  </si>
  <si>
    <t>ССЦ Московской обл.,сб.411,поз.0001</t>
  </si>
  <si>
    <t>Вода</t>
  </si>
  <si>
    <t>1-2.7-50</t>
  </si>
  <si>
    <t>Затраты труда рабочих, разряд работ 2.7</t>
  </si>
  <si>
    <t>402-0013</t>
  </si>
  <si>
    <t>ССЦ Московской обл.,сб.402,поз.0013</t>
  </si>
  <si>
    <t>Раствор готовый кладочный цементно-известковый, марка 50</t>
  </si>
  <si>
    <t>1-3.8-50</t>
  </si>
  <si>
    <t>Затраты труда рабочих, разряд работ 3.8</t>
  </si>
  <si>
    <t>101-0769</t>
  </si>
  <si>
    <t>ССЦ Московской обл.,сб.101,поз.0769</t>
  </si>
  <si>
    <t>Плиты пазогребневые для перегородок толщиной 100 мм</t>
  </si>
  <si>
    <t>м2</t>
  </si>
  <si>
    <t>101-1958</t>
  </si>
  <si>
    <t>ССЦ Московской обл.,сб.101,поз.1958</t>
  </si>
  <si>
    <t>Клей гипсовый сухой монтажный</t>
  </si>
  <si>
    <t>104-0109</t>
  </si>
  <si>
    <t>ССЦ Московской обл.,сб.104,поз.0109</t>
  </si>
  <si>
    <t>Прокладки пробковые 100х80х5 мм</t>
  </si>
  <si>
    <t>1-3.5-50</t>
  </si>
  <si>
    <t>Затраты труда рабочих, разряд работ 3.5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</si>
  <si>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</si>
  <si>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</si>
  <si>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</si>
  <si>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402-0002</t>
  </si>
  <si>
    <t>ССЦ Московской обл.,сб.402,поз.0002</t>
  </si>
  <si>
    <t>Раствор готовый кладочный цементный, марка 50</t>
  </si>
  <si>
    <t>448-2201-1</t>
  </si>
  <si>
    <t>ССЦ Московской обл.,сб.448,поз.2201-1</t>
  </si>
  <si>
    <t>Ступени лестничные с лицевой бетонной поверхностью, не требующей дополнительной отделки, длиной до 3 м</t>
  </si>
  <si>
    <t>м</t>
  </si>
  <si>
    <t>1-3.1-50</t>
  </si>
  <si>
    <t>Затраты труда рабочих, разряд работ 3.1</t>
  </si>
  <si>
    <t>030101</t>
  </si>
  <si>
    <t>452712</t>
  </si>
  <si>
    <t>Автопогрузчики 5 т</t>
  </si>
  <si>
    <t>111301</t>
  </si>
  <si>
    <t>483382</t>
  </si>
  <si>
    <t>Вибраторы поверхностные</t>
  </si>
  <si>
    <t>331532</t>
  </si>
  <si>
    <t>483331</t>
  </si>
  <si>
    <t>Пилы электрические цепные</t>
  </si>
  <si>
    <t>101-0253</t>
  </si>
  <si>
    <t>ССЦ Московской обл.,сб.101,поз.0253</t>
  </si>
  <si>
    <t>Известь строительная негашеная комовая, сорт 1</t>
  </si>
  <si>
    <t>101-0816</t>
  </si>
  <si>
    <t>ССЦ Московской обл.,сб.101,поз.0816</t>
  </si>
  <si>
    <t>Проволока светлая диаметром 1.1 мм</t>
  </si>
  <si>
    <t>101-1782</t>
  </si>
  <si>
    <t>ССЦ Московской обл.,сб.101,поз.1782</t>
  </si>
  <si>
    <t>Ткань мешочная</t>
  </si>
  <si>
    <t>10 м2</t>
  </si>
  <si>
    <t>101-1805</t>
  </si>
  <si>
    <t>ССЦ Московской обл.,сб.101,поз.1805</t>
  </si>
  <si>
    <t>Гвозди строительные</t>
  </si>
  <si>
    <t>102-0025</t>
  </si>
  <si>
    <t>ССЦ Московской обл.,сб.102,поз.0025</t>
  </si>
  <si>
    <t>Пиломатериалы хвойных пород. Бруски обрезные длиной 4-6.5 м, шириной 75-150 мм, толщиной 40-75 мм III сорта</t>
  </si>
  <si>
    <t>102-0032</t>
  </si>
  <si>
    <t>ССЦ Московской обл.,сб.102,поз.0032</t>
  </si>
  <si>
    <t>Пиломатериалы хвойных пород. Брусья обрезные длиной 4-6.5 м, шириной 75-150 мм, толщиной 150 мм и более II сорта</t>
  </si>
  <si>
    <t>102-0053</t>
  </si>
  <si>
    <t>ССЦ Московской обл.,сб.102,поз.0053</t>
  </si>
  <si>
    <t>Пиломатериалы хвойных пород. Доски обрезные длиной 4-6.5 м, шириной   75-150 мм, толщиной 25 мм III сорта</t>
  </si>
  <si>
    <t>102-0061</t>
  </si>
  <si>
    <t>ССЦ Московской обл.,сб.102,поз.0061</t>
  </si>
  <si>
    <t>Пиломатериалы хвойных пород. Доски обрезные длиной 4-6.5 м, шириной 75-150 мм, толщиной 44 мм и более III сорта</t>
  </si>
  <si>
    <t>201-0755</t>
  </si>
  <si>
    <t>ССЦ Московской обл.,сб.201,поз.0755</t>
  </si>
  <si>
    <t>Отдельные конструктивные элементы зданий и сооружений с преобладанием горячекатаных профилей, средняя масса сборочной единицы до 0.1 т</t>
  </si>
  <si>
    <t>203-0511</t>
  </si>
  <si>
    <t>ССЦ Московской обл.,сб.203,поз.0511</t>
  </si>
  <si>
    <t>Щиты из досок толщиной 25 мм</t>
  </si>
  <si>
    <t>203-0518</t>
  </si>
  <si>
    <t>ССЦ Московской обл.,сб.203,поз.0518</t>
  </si>
  <si>
    <t>Инвентарные стойки деревометаллические раздвижные</t>
  </si>
  <si>
    <t>шт.</t>
  </si>
  <si>
    <t>01. Кладка конструкций из кирпича. 02. Устройство ниш для отопления, вентиляционных и дымовых каналов с разделками борозд, осадочных и температурных швов, архитектурных и конструктивных деталей (нормы 1-8). 03. Расшивка швов кладки наружных стен (нормы 1-6). 04. Установка металлических креплений (норма 9).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</si>
  <si>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</si>
  <si>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</si>
  <si>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</si>
  <si>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</si>
  <si>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</si>
  <si>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</si>
  <si>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</si>
  <si>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</si>
  <si>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</si>
  <si>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</si>
  <si>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</si>
  <si>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</si>
  <si>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Декабрь 2007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</si>
  <si>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</si>
  <si>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</si>
  <si>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</si>
  <si>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</si>
  <si>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</si>
  <si>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</si>
  <si>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</si>
  <si>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</si>
  <si>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</si>
  <si>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</si>
  <si>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</si>
  <si>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</si>
  <si>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</si>
  <si>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</si>
  <si>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</si>
  <si>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</si>
  <si>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</si>
  <si>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</si>
  <si>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</si>
  <si>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</si>
  <si>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</si>
  <si>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</si>
  <si>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</si>
  <si>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</si>
  <si>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</si>
  <si>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</si>
  <si>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</si>
  <si>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</si>
  <si>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</si>
  <si>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</si>
  <si>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</si>
  <si>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</si>
  <si>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</si>
  <si>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</si>
  <si>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</si>
  <si>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Раздел  </t>
  </si>
  <si>
    <t>Зарплата</t>
  </si>
  <si>
    <t>в т.ч. зарплата машинистов</t>
  </si>
  <si>
    <t>Материальные ресурсы</t>
  </si>
  <si>
    <t>Накладные расходы от ФОТ</t>
  </si>
  <si>
    <t>%</t>
  </si>
  <si>
    <t>Затраты труда</t>
  </si>
  <si>
    <t>чел-ч</t>
  </si>
  <si>
    <t>Итого</t>
  </si>
  <si>
    <t>Итого по смете</t>
  </si>
  <si>
    <t>Итого по локальной смете</t>
  </si>
  <si>
    <t>ИСПОЛНИЛ</t>
  </si>
  <si>
    <t>[должность,подпись(инициалы,фамилия)]</t>
  </si>
  <si>
    <t>ПРОВЕРИЛ</t>
  </si>
  <si>
    <t xml:space="preserve">ЛОКАЛЬНАЯ СМЕТА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</si>
</sst>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 shrinkToFit="1"/>
    </xf>
    <xf numFmtId="0" fontId="14" fillId="0" borderId="0" xfId="0" applyFont="1" applyAlignment="1">
      <alignment horizontal="right" wrapText="1" shrinkToFi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right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wrapTex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wrapText="1" shrinkToFi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justify" vertical="top" wrapText="1" shrinkToFit="1"/>
    </xf>
    <xf numFmtId="0" fontId="14" fillId="0" borderId="5" xfId="0" applyFont="1" applyBorder="1" applyAlignment="1">
      <alignment horizontal="right" wrapText="1" shrinkToFit="1"/>
    </xf>
    <xf numFmtId="0" fontId="9" fillId="0" borderId="5" xfId="0" applyFont="1" applyBorder="1" applyAlignment="1">
      <alignment shrinkToFit="1"/>
    </xf>
    <xf numFmtId="0" fontId="9" fillId="0" borderId="5" xfId="0" applyFont="1" applyBorder="1" applyAlignment="1">
      <alignment wrapText="1" shrinkToFit="1"/>
    </xf>
    <xf numFmtId="2" fontId="9" fillId="0" borderId="5" xfId="0" applyNumberFormat="1" applyFont="1" applyBorder="1" applyAlignment="1">
      <alignment shrinkToFi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12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3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0" xfId="0" applyFont="1" applyAlignment="1">
      <alignment horizontal="right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1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="107" zoomScaleNormal="107" workbookViewId="0" topLeftCell="A1">
      <selection activeCell="C11" sqref="C11:F11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52.7109375" style="0" customWidth="1"/>
    <col min="7" max="7" width="11.28125" style="0" customWidth="1"/>
    <col min="8" max="8" width="12.28125" style="0" bestFit="1" customWidth="1"/>
    <col min="10" max="10" width="10.140625" style="0" customWidth="1"/>
    <col min="11" max="11" width="13.57421875" style="0" bestFit="1" customWidth="1"/>
    <col min="12" max="12" width="9.421875" style="0" bestFit="1" customWidth="1"/>
    <col min="13" max="23" width="0" style="0" hidden="1" customWidth="1"/>
  </cols>
  <sheetData>
    <row r="1" s="5" customFormat="1" ht="19.5" customHeight="1">
      <c r="A1" s="5" t="str">
        <f>Source!B1</f>
        <v>Smeta.ru  (495) 974-1589</v>
      </c>
    </row>
    <row r="2" spans="2:12" ht="14.2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61" t="s">
        <v>418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8.75" customHeight="1">
      <c r="A4" s="4" t="s">
        <v>356</v>
      </c>
      <c r="B4" s="59" t="str">
        <f>IF(Source!G12&lt;&gt;"",Source!G12,Source!F12)</f>
        <v>Перегородки техподполья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12.75" customHeight="1">
      <c r="B5" s="60" t="s">
        <v>357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1:12" ht="15" customHeight="1">
      <c r="A7" s="57" t="str">
        <f>CONCATENATE("Основание: ",Source!J12)</f>
        <v>Основание: 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9" spans="5:10" ht="12.75">
      <c r="E9" s="4"/>
      <c r="F9" s="4"/>
      <c r="G9" s="4"/>
      <c r="H9" s="4"/>
      <c r="I9" s="4"/>
      <c r="J9" s="4"/>
    </row>
    <row r="10" spans="5:10" ht="12.75">
      <c r="E10" s="7"/>
      <c r="F10" s="7"/>
      <c r="G10" s="58" t="s">
        <v>358</v>
      </c>
      <c r="H10" s="58"/>
      <c r="I10" s="58" t="s">
        <v>359</v>
      </c>
      <c r="J10" s="58"/>
    </row>
    <row r="11" spans="3:12" ht="15.75">
      <c r="C11" s="53" t="s">
        <v>360</v>
      </c>
      <c r="D11" s="53"/>
      <c r="E11" s="53"/>
      <c r="F11" s="53"/>
      <c r="G11" s="54">
        <f>G94/1000</f>
        <v>817.7027088214318</v>
      </c>
      <c r="H11" s="54"/>
      <c r="I11" s="54">
        <f>(Source!F95/1000)</f>
        <v>4489.49513</v>
      </c>
      <c r="J11" s="54"/>
      <c r="K11" s="55" t="s">
        <v>361</v>
      </c>
      <c r="L11" s="55"/>
    </row>
    <row r="12" spans="3:12" ht="15">
      <c r="C12" s="56" t="s">
        <v>362</v>
      </c>
      <c r="D12" s="56"/>
      <c r="E12" s="56"/>
      <c r="F12" s="56"/>
      <c r="G12" s="54">
        <f>O94/1000</f>
        <v>817.7027088214318</v>
      </c>
      <c r="H12" s="54"/>
      <c r="I12" s="54">
        <f>S94/1000</f>
        <v>3759.54238</v>
      </c>
      <c r="J12" s="54"/>
      <c r="K12" s="55" t="s">
        <v>361</v>
      </c>
      <c r="L12" s="55"/>
    </row>
    <row r="13" spans="3:12" ht="15">
      <c r="C13" s="56" t="s">
        <v>363</v>
      </c>
      <c r="D13" s="56"/>
      <c r="E13" s="56"/>
      <c r="F13" s="56"/>
      <c r="G13" s="54">
        <f>P94/1000</f>
        <v>0</v>
      </c>
      <c r="H13" s="54"/>
      <c r="I13" s="54">
        <f>T94/1000</f>
        <v>0</v>
      </c>
      <c r="J13" s="54"/>
      <c r="K13" s="55" t="s">
        <v>361</v>
      </c>
      <c r="L13" s="55"/>
    </row>
    <row r="14" spans="3:12" ht="15">
      <c r="C14" s="56" t="s">
        <v>364</v>
      </c>
      <c r="D14" s="56"/>
      <c r="E14" s="56"/>
      <c r="F14" s="56"/>
      <c r="G14" s="54">
        <f>Q94/1000</f>
        <v>0</v>
      </c>
      <c r="H14" s="54"/>
      <c r="I14" s="54">
        <f>U94/1000</f>
        <v>0</v>
      </c>
      <c r="J14" s="54"/>
      <c r="K14" s="55" t="s">
        <v>361</v>
      </c>
      <c r="L14" s="55"/>
    </row>
    <row r="15" spans="3:12" ht="15">
      <c r="C15" s="56" t="s">
        <v>365</v>
      </c>
      <c r="D15" s="56"/>
      <c r="E15" s="56"/>
      <c r="F15" s="56"/>
      <c r="G15" s="54">
        <f>R94/1000</f>
        <v>0</v>
      </c>
      <c r="H15" s="54"/>
      <c r="I15" s="54">
        <f>V94/1000</f>
        <v>0</v>
      </c>
      <c r="J15" s="54"/>
      <c r="K15" s="55" t="s">
        <v>361</v>
      </c>
      <c r="L15" s="55"/>
    </row>
    <row r="16" spans="3:12" ht="15.75">
      <c r="C16" s="53" t="s">
        <v>366</v>
      </c>
      <c r="D16" s="53"/>
      <c r="E16" s="53"/>
      <c r="F16" s="53"/>
      <c r="G16" s="54">
        <f>(Source!U22)</f>
        <v>4603.19</v>
      </c>
      <c r="H16" s="54"/>
      <c r="I16" s="54">
        <f>(Source!U22)</f>
        <v>4603.19</v>
      </c>
      <c r="J16" s="54"/>
      <c r="K16" s="55" t="s">
        <v>251</v>
      </c>
      <c r="L16" s="55"/>
    </row>
    <row r="17" spans="3:12" ht="15.75">
      <c r="C17" s="53" t="s">
        <v>367</v>
      </c>
      <c r="D17" s="53"/>
      <c r="E17" s="53"/>
      <c r="F17" s="53"/>
      <c r="G17" s="54">
        <f>(N94+W94)/1000</f>
        <v>42.44781593927894</v>
      </c>
      <c r="H17" s="54"/>
      <c r="I17" s="54">
        <f>(Source!S22/1000)</f>
        <v>418.17253000000005</v>
      </c>
      <c r="J17" s="54"/>
      <c r="K17" s="55" t="s">
        <v>361</v>
      </c>
      <c r="L17" s="55"/>
    </row>
    <row r="19" spans="1:6" ht="12.75">
      <c r="A19" s="50" t="s">
        <v>368</v>
      </c>
      <c r="B19" s="50"/>
      <c r="C19" s="50"/>
      <c r="D19" s="4"/>
      <c r="E19" s="4"/>
      <c r="F19" s="4"/>
    </row>
    <row r="20" spans="1:12" ht="15">
      <c r="A20" s="11"/>
      <c r="B20" s="11"/>
      <c r="C20" s="11"/>
      <c r="D20" s="11"/>
      <c r="E20" s="11"/>
      <c r="F20" s="12" t="s">
        <v>381</v>
      </c>
      <c r="G20" s="12" t="s">
        <v>385</v>
      </c>
      <c r="H20" s="12" t="s">
        <v>389</v>
      </c>
      <c r="I20" s="12" t="s">
        <v>393</v>
      </c>
      <c r="J20" s="12" t="s">
        <v>397</v>
      </c>
      <c r="K20" s="12" t="s">
        <v>389</v>
      </c>
      <c r="L20" s="12" t="s">
        <v>401</v>
      </c>
    </row>
    <row r="21" spans="1:12" ht="15">
      <c r="A21" s="13" t="s">
        <v>369</v>
      </c>
      <c r="B21" s="13" t="s">
        <v>371</v>
      </c>
      <c r="C21" s="14"/>
      <c r="D21" s="13" t="s">
        <v>376</v>
      </c>
      <c r="E21" s="13" t="s">
        <v>379</v>
      </c>
      <c r="F21" s="13" t="s">
        <v>382</v>
      </c>
      <c r="G21" s="13" t="s">
        <v>386</v>
      </c>
      <c r="H21" s="13" t="s">
        <v>390</v>
      </c>
      <c r="I21" s="13" t="s">
        <v>394</v>
      </c>
      <c r="J21" s="13" t="s">
        <v>388</v>
      </c>
      <c r="K21" s="13" t="s">
        <v>398</v>
      </c>
      <c r="L21" s="13" t="s">
        <v>402</v>
      </c>
    </row>
    <row r="22" spans="1:12" ht="15">
      <c r="A22" s="13" t="s">
        <v>370</v>
      </c>
      <c r="B22" s="13" t="s">
        <v>372</v>
      </c>
      <c r="C22" s="13" t="s">
        <v>375</v>
      </c>
      <c r="D22" s="13" t="s">
        <v>377</v>
      </c>
      <c r="E22" s="13" t="s">
        <v>380</v>
      </c>
      <c r="F22" s="13" t="s">
        <v>383</v>
      </c>
      <c r="G22" s="13" t="s">
        <v>387</v>
      </c>
      <c r="H22" s="13" t="s">
        <v>391</v>
      </c>
      <c r="I22" s="13" t="s">
        <v>395</v>
      </c>
      <c r="J22" s="13" t="s">
        <v>395</v>
      </c>
      <c r="K22" s="13" t="s">
        <v>399</v>
      </c>
      <c r="L22" s="13" t="s">
        <v>403</v>
      </c>
    </row>
    <row r="23" spans="1:12" ht="15">
      <c r="A23" s="14"/>
      <c r="B23" s="13" t="s">
        <v>373</v>
      </c>
      <c r="C23" s="14"/>
      <c r="D23" s="13" t="s">
        <v>378</v>
      </c>
      <c r="E23" s="14"/>
      <c r="F23" s="13" t="s">
        <v>384</v>
      </c>
      <c r="G23" s="13" t="s">
        <v>388</v>
      </c>
      <c r="H23" s="13" t="s">
        <v>392</v>
      </c>
      <c r="I23" s="13" t="s">
        <v>396</v>
      </c>
      <c r="J23" s="13" t="s">
        <v>396</v>
      </c>
      <c r="K23" s="13" t="s">
        <v>400</v>
      </c>
      <c r="L23" s="13"/>
    </row>
    <row r="24" spans="1:12" ht="15">
      <c r="A24" s="15"/>
      <c r="B24" s="16" t="s">
        <v>374</v>
      </c>
      <c r="C24" s="15"/>
      <c r="D24" s="15"/>
      <c r="E24" s="15"/>
      <c r="F24" s="15"/>
      <c r="G24" s="16"/>
      <c r="H24" s="16"/>
      <c r="I24" s="16"/>
      <c r="J24" s="16"/>
      <c r="K24" s="16"/>
      <c r="L24" s="16"/>
    </row>
    <row r="25" spans="1:12" ht="15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17">
        <v>11</v>
      </c>
      <c r="L25" s="17">
        <v>12</v>
      </c>
    </row>
    <row r="26" spans="3:11" ht="18">
      <c r="C26" s="18" t="s">
        <v>404</v>
      </c>
      <c r="D26" s="51" t="str">
        <f>IF(Source!C12="1",Source!F24,Source!G24)</f>
        <v>Внутренние перегородки техподполья</v>
      </c>
      <c r="E26" s="52"/>
      <c r="F26" s="52"/>
      <c r="G26" s="52"/>
      <c r="H26" s="52"/>
      <c r="I26" s="52"/>
      <c r="J26" s="52"/>
      <c r="K26" s="52"/>
    </row>
    <row r="28" spans="1:12" ht="45">
      <c r="A28" s="19" t="str">
        <f>Source!E28</f>
        <v>1</v>
      </c>
      <c r="B28" s="19" t="str">
        <f>Source!F28</f>
        <v>08-02-002-3</v>
      </c>
      <c r="C28" s="20" t="str">
        <f>CONCATENATE(Source!G28,"  ",Source!CN28)</f>
        <v>Кладка перегородок из кирпича армированных толщиной в 1/2 кирпича при высоте этажа до 4 м  </v>
      </c>
      <c r="D28" s="21" t="str">
        <f>Source!H28</f>
        <v>100 м2</v>
      </c>
      <c r="E28" s="8">
        <f>ROUND(Source!I28,6)</f>
        <v>8.974</v>
      </c>
      <c r="F28" s="8">
        <f>IF(Source!AK28&lt;&gt;0,Source!AK28,Source!AL28+Source!AM28+Source!AO28)</f>
        <v>12331.04</v>
      </c>
      <c r="G28" s="8"/>
      <c r="H28" s="8"/>
      <c r="I28" s="8"/>
      <c r="J28" s="8"/>
      <c r="K28" s="8"/>
      <c r="L28" s="8"/>
    </row>
    <row r="29" spans="1:12" ht="15">
      <c r="A29" s="6"/>
      <c r="B29" s="6"/>
      <c r="C29" s="6" t="s">
        <v>405</v>
      </c>
      <c r="D29" s="6"/>
      <c r="E29" s="6"/>
      <c r="F29" s="6">
        <f>Source!AO28</f>
        <v>1451.55</v>
      </c>
      <c r="G29" s="22">
        <f>Source!DG28</f>
      </c>
      <c r="H29" s="23">
        <f>IF(Source!BA28&lt;&gt;0,Source!S28/Source!BA28,Source!S28)</f>
        <v>13026.209677419356</v>
      </c>
      <c r="I29" s="6" t="str">
        <f>IF(Source!BO28&lt;&gt;"",Source!BO28,"")</f>
        <v>08-02-002-3</v>
      </c>
      <c r="J29" s="6">
        <f>Source!BA28</f>
        <v>10.54</v>
      </c>
      <c r="K29" s="23">
        <f>Source!S28</f>
        <v>137296.25</v>
      </c>
      <c r="L29" s="6"/>
    </row>
    <row r="30" spans="1:12" ht="15">
      <c r="A30" s="6"/>
      <c r="B30" s="6"/>
      <c r="C30" s="6" t="s">
        <v>52</v>
      </c>
      <c r="D30" s="6"/>
      <c r="E30" s="6"/>
      <c r="F30" s="6">
        <f>Source!AM28</f>
        <v>363.39</v>
      </c>
      <c r="G30" s="22">
        <f>Source!DE28</f>
      </c>
      <c r="H30" s="23">
        <f>IF(Source!BB28&lt;&gt;0,Source!Q28/Source!BB28,Source!Q28)</f>
        <v>3261.06204379562</v>
      </c>
      <c r="I30" s="6"/>
      <c r="J30" s="6">
        <f>Source!BB28</f>
        <v>5.48</v>
      </c>
      <c r="K30" s="23">
        <f>Source!Q28</f>
        <v>17870.62</v>
      </c>
      <c r="L30" s="6"/>
    </row>
    <row r="31" spans="1:12" ht="15">
      <c r="A31" s="6"/>
      <c r="B31" s="6"/>
      <c r="C31" s="6" t="s">
        <v>406</v>
      </c>
      <c r="D31" s="6"/>
      <c r="E31" s="6"/>
      <c r="F31" s="6">
        <f>Source!AN28</f>
        <v>55.49</v>
      </c>
      <c r="G31" s="22">
        <f>Source!DF28</f>
      </c>
      <c r="H31" s="25">
        <f>IF(Source!BS28&lt;&gt;0,Source!R28/Source!BS28,Source!R28)</f>
        <v>497.9667931688805</v>
      </c>
      <c r="I31" s="6"/>
      <c r="J31" s="6">
        <f>Source!BS28</f>
        <v>10.54</v>
      </c>
      <c r="K31" s="10">
        <f>Source!R28</f>
        <v>5248.57</v>
      </c>
      <c r="L31" s="6"/>
    </row>
    <row r="32" spans="1:12" ht="15">
      <c r="A32" s="6"/>
      <c r="B32" s="6"/>
      <c r="C32" s="6" t="s">
        <v>407</v>
      </c>
      <c r="D32" s="6"/>
      <c r="E32" s="6"/>
      <c r="F32" s="6">
        <f>Source!AL28</f>
        <v>10516.1</v>
      </c>
      <c r="G32" s="22">
        <f>Source!DD28</f>
      </c>
      <c r="H32" s="23">
        <f>IF(Source!BC28&lt;&gt;0,Source!P28/Source!BC28,Source!P28)</f>
        <v>94371.48266666666</v>
      </c>
      <c r="I32" s="6"/>
      <c r="J32" s="6">
        <f>Source!BC28</f>
        <v>3.75</v>
      </c>
      <c r="K32" s="23">
        <f>Source!P28</f>
        <v>353893.06</v>
      </c>
      <c r="L32" s="6"/>
    </row>
    <row r="33" spans="1:12" ht="15">
      <c r="A33" s="6"/>
      <c r="B33" s="6"/>
      <c r="C33" s="6" t="s">
        <v>408</v>
      </c>
      <c r="D33" s="10" t="s">
        <v>409</v>
      </c>
      <c r="E33" s="6"/>
      <c r="F33" s="6">
        <f>Source!BZ28</f>
        <v>114.68</v>
      </c>
      <c r="G33" s="6"/>
      <c r="H33" s="23">
        <f>(F33/100)*((Source!S28/IF(Source!BA28&lt;&gt;0,Source!BA28,1))+(Source!R28/IF(Source!BS28&lt;&gt;0,Source!BS28,1)))</f>
        <v>15509.525576470589</v>
      </c>
      <c r="I33" s="6"/>
      <c r="J33" s="6">
        <f>Source!AT28</f>
        <v>114.68</v>
      </c>
      <c r="K33" s="23">
        <f>Source!X28</f>
        <v>163470.4</v>
      </c>
      <c r="L33" s="6"/>
    </row>
    <row r="34" spans="1:12" ht="15">
      <c r="A34" s="6"/>
      <c r="B34" s="6"/>
      <c r="C34" s="6" t="s">
        <v>68</v>
      </c>
      <c r="D34" s="10" t="s">
        <v>409</v>
      </c>
      <c r="E34" s="6"/>
      <c r="F34" s="6">
        <f>Source!CA28</f>
        <v>80</v>
      </c>
      <c r="G34" s="6"/>
      <c r="H34" s="23">
        <f>(F34/100)*((Source!S28/IF(Source!BA28&lt;&gt;0,Source!BA28,1))+(Source!R28/IF(Source!BS28&lt;&gt;0,Source!BS28,1)))</f>
        <v>10819.341176470589</v>
      </c>
      <c r="I34" s="6"/>
      <c r="J34" s="6">
        <f>Source!AU28</f>
        <v>80</v>
      </c>
      <c r="K34" s="23">
        <f>Source!Y28</f>
        <v>114035.86</v>
      </c>
      <c r="L34" s="6"/>
    </row>
    <row r="35" spans="1:12" ht="15">
      <c r="A35" s="26"/>
      <c r="B35" s="26"/>
      <c r="C35" s="26" t="s">
        <v>410</v>
      </c>
      <c r="D35" s="27" t="s">
        <v>411</v>
      </c>
      <c r="E35" s="26">
        <f>Source!AQ28</f>
        <v>170.17</v>
      </c>
      <c r="F35" s="26"/>
      <c r="G35" s="28">
        <f>Source!DI28</f>
      </c>
      <c r="H35" s="26"/>
      <c r="I35" s="26"/>
      <c r="J35" s="26"/>
      <c r="K35" s="26"/>
      <c r="L35" s="26">
        <f>Source!U28</f>
        <v>1527.10558</v>
      </c>
    </row>
    <row r="36" spans="1:23" ht="15.75">
      <c r="A36" s="6"/>
      <c r="B36" s="6"/>
      <c r="C36" s="6"/>
      <c r="D36" s="6"/>
      <c r="E36" s="6"/>
      <c r="F36" s="6"/>
      <c r="G36" s="6"/>
      <c r="H36" s="29">
        <f>IF(Source!BA28&lt;&gt;0,Source!S28/Source!BA28,Source!S28)+IF(Source!BB28&lt;&gt;0,Source!Q28/Source!BB28,Source!Q28)+H32+H33+H34</f>
        <v>136987.62114082283</v>
      </c>
      <c r="I36" s="30"/>
      <c r="J36" s="30"/>
      <c r="K36" s="29">
        <f>Source!S28+Source!Q28+K32+K33+K34</f>
        <v>786566.19</v>
      </c>
      <c r="L36" s="30">
        <f>Source!U28</f>
        <v>1527.10558</v>
      </c>
      <c r="M36" s="24">
        <f>H36</f>
        <v>136987.62114082283</v>
      </c>
      <c r="N36">
        <f>IF(Source!BA28&lt;&gt;0,Source!S28/Source!BA28,Source!S28)</f>
        <v>13026.209677419356</v>
      </c>
      <c r="O36">
        <f>IF(Source!BI28=1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136987.62114082283</v>
      </c>
      <c r="P36">
        <f>IF(Source!BI28=2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Q36">
        <f>IF(Source!BI28=3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R36">
        <f>IF(Source!BI28=4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S36">
        <f>IF(Source!BI28=1,Source!O28+Source!X28+Source!Y28,0)</f>
        <v>786566.19</v>
      </c>
      <c r="T36">
        <f>IF(Source!BI28=2,Source!O28+Source!X28+Source!Y28,0)</f>
        <v>0</v>
      </c>
      <c r="U36">
        <f>IF(Source!BI28=3,Source!O28+Source!X28+Source!Y28,0)</f>
        <v>0</v>
      </c>
      <c r="V36">
        <f>IF(Source!BI28=4,Source!O28+Source!X28+Source!Y28,0)</f>
        <v>0</v>
      </c>
      <c r="W36">
        <f>IF(Source!BS28&lt;&gt;0,Source!R28/Source!BS28,Source!R28)</f>
        <v>497.9667931688805</v>
      </c>
    </row>
    <row r="37" spans="1:12" ht="30">
      <c r="A37" s="19" t="str">
        <f>Source!E29</f>
        <v>2</v>
      </c>
      <c r="B37" s="19" t="str">
        <f>Source!F29</f>
        <v>08-02-001-7</v>
      </c>
      <c r="C37" s="20" t="str">
        <f>CONCATENATE(Source!G29,"  ",Source!CN29)</f>
        <v>Кладка стен кирпичных внутренних при высоте этажа до 4 м  </v>
      </c>
      <c r="D37" s="21" t="str">
        <f>Source!H29</f>
        <v>м3</v>
      </c>
      <c r="E37" s="8">
        <f>ROUND(Source!I29,6)</f>
        <v>291.82</v>
      </c>
      <c r="F37" s="8">
        <f>IF(Source!AK29&lt;&gt;0,Source!AK29,Source!AL29+Source!AM29+Source!AO29)</f>
        <v>893.37</v>
      </c>
      <c r="G37" s="8"/>
      <c r="H37" s="8"/>
      <c r="I37" s="8"/>
      <c r="J37" s="8"/>
      <c r="K37" s="8"/>
      <c r="L37" s="8"/>
    </row>
    <row r="38" spans="1:12" ht="15">
      <c r="A38" s="6"/>
      <c r="B38" s="6"/>
      <c r="C38" s="6" t="s">
        <v>405</v>
      </c>
      <c r="D38" s="6"/>
      <c r="E38" s="6"/>
      <c r="F38" s="6">
        <f>Source!AO29</f>
        <v>43.3</v>
      </c>
      <c r="G38" s="22">
        <f>Source!DG29</f>
      </c>
      <c r="H38" s="23">
        <f>IF(Source!BA29&lt;&gt;0,Source!S29/Source!BA29,Source!S29)</f>
        <v>12635.806451612903</v>
      </c>
      <c r="I38" s="6" t="str">
        <f>IF(Source!BO29&lt;&gt;"",Source!BO29,"")</f>
        <v>08-02-001-7</v>
      </c>
      <c r="J38" s="6">
        <f>Source!BA29</f>
        <v>10.54</v>
      </c>
      <c r="K38" s="23">
        <f>Source!S29</f>
        <v>133181.4</v>
      </c>
      <c r="L38" s="6"/>
    </row>
    <row r="39" spans="1:12" ht="15">
      <c r="A39" s="6"/>
      <c r="B39" s="6"/>
      <c r="C39" s="6" t="s">
        <v>52</v>
      </c>
      <c r="D39" s="6"/>
      <c r="E39" s="6"/>
      <c r="F39" s="6">
        <f>Source!AM29</f>
        <v>34.56</v>
      </c>
      <c r="G39" s="22">
        <f>Source!DE29</f>
      </c>
      <c r="H39" s="23">
        <f>IF(Source!BB29&lt;&gt;0,Source!Q29/Source!BB29,Source!Q29)</f>
        <v>10085.298724954462</v>
      </c>
      <c r="I39" s="6"/>
      <c r="J39" s="6">
        <f>Source!BB29</f>
        <v>5.49</v>
      </c>
      <c r="K39" s="23">
        <f>Source!Q29</f>
        <v>55368.29</v>
      </c>
      <c r="L39" s="6"/>
    </row>
    <row r="40" spans="1:12" ht="15">
      <c r="A40" s="6"/>
      <c r="B40" s="6"/>
      <c r="C40" s="6" t="s">
        <v>406</v>
      </c>
      <c r="D40" s="6"/>
      <c r="E40" s="6"/>
      <c r="F40" s="6">
        <f>Source!AN29</f>
        <v>5.4</v>
      </c>
      <c r="G40" s="22">
        <f>Source!DF29</f>
      </c>
      <c r="H40" s="25">
        <f>IF(Source!BS29&lt;&gt;0,Source!R29/Source!BS29,Source!R29)</f>
        <v>1575.828273244782</v>
      </c>
      <c r="I40" s="6"/>
      <c r="J40" s="6">
        <f>Source!BS29</f>
        <v>10.54</v>
      </c>
      <c r="K40" s="10">
        <f>Source!R29</f>
        <v>16609.23</v>
      </c>
      <c r="L40" s="6"/>
    </row>
    <row r="41" spans="1:12" ht="15">
      <c r="A41" s="6"/>
      <c r="B41" s="6"/>
      <c r="C41" s="6" t="s">
        <v>407</v>
      </c>
      <c r="D41" s="6"/>
      <c r="E41" s="6"/>
      <c r="F41" s="6">
        <f>Source!AL29</f>
        <v>815.51</v>
      </c>
      <c r="G41" s="22">
        <f>Source!DD29</f>
      </c>
      <c r="H41" s="23">
        <f>IF(Source!BC29&lt;&gt;0,Source!P29/Source!BC29,Source!P29)</f>
        <v>237982.12928759895</v>
      </c>
      <c r="I41" s="6"/>
      <c r="J41" s="6">
        <f>Source!BC29</f>
        <v>3.79</v>
      </c>
      <c r="K41" s="23">
        <f>Source!P29</f>
        <v>901952.27</v>
      </c>
      <c r="L41" s="6"/>
    </row>
    <row r="42" spans="1:12" ht="15">
      <c r="A42" s="6"/>
      <c r="B42" s="6"/>
      <c r="C42" s="6" t="s">
        <v>408</v>
      </c>
      <c r="D42" s="10" t="s">
        <v>409</v>
      </c>
      <c r="E42" s="6"/>
      <c r="F42" s="6">
        <f>Source!BZ29</f>
        <v>114.68</v>
      </c>
      <c r="G42" s="6"/>
      <c r="H42" s="23">
        <f>(F42/100)*((Source!S29/IF(Source!BA29&lt;&gt;0,Source!BA29,1))+(Source!R29/IF(Source!BS29&lt;&gt;0,Source!BS29,1)))</f>
        <v>16297.902702466794</v>
      </c>
      <c r="I42" s="6"/>
      <c r="J42" s="6">
        <f>Source!AT29</f>
        <v>114.68</v>
      </c>
      <c r="K42" s="23">
        <f>Source!X29</f>
        <v>171779.89</v>
      </c>
      <c r="L42" s="6"/>
    </row>
    <row r="43" spans="1:12" ht="15">
      <c r="A43" s="6"/>
      <c r="B43" s="6"/>
      <c r="C43" s="6" t="s">
        <v>68</v>
      </c>
      <c r="D43" s="10" t="s">
        <v>409</v>
      </c>
      <c r="E43" s="6"/>
      <c r="F43" s="6">
        <f>Source!CA29</f>
        <v>80</v>
      </c>
      <c r="G43" s="6"/>
      <c r="H43" s="23">
        <f>(F43/100)*((Source!S29/IF(Source!BA29&lt;&gt;0,Source!BA29,1))+(Source!R29/IF(Source!BS29&lt;&gt;0,Source!BS29,1)))</f>
        <v>11369.307779886149</v>
      </c>
      <c r="I43" s="6"/>
      <c r="J43" s="6">
        <f>Source!AU29</f>
        <v>80</v>
      </c>
      <c r="K43" s="23">
        <f>Source!Y29</f>
        <v>119832.5</v>
      </c>
      <c r="L43" s="6"/>
    </row>
    <row r="44" spans="1:12" ht="15">
      <c r="A44" s="26"/>
      <c r="B44" s="26"/>
      <c r="C44" s="26" t="s">
        <v>410</v>
      </c>
      <c r="D44" s="27" t="s">
        <v>411</v>
      </c>
      <c r="E44" s="26">
        <f>Source!AQ29</f>
        <v>5.21</v>
      </c>
      <c r="F44" s="26"/>
      <c r="G44" s="28">
        <f>Source!DI29</f>
      </c>
      <c r="H44" s="26"/>
      <c r="I44" s="26"/>
      <c r="J44" s="26"/>
      <c r="K44" s="26"/>
      <c r="L44" s="26">
        <f>Source!U29</f>
        <v>1520.3822</v>
      </c>
    </row>
    <row r="45" spans="1:23" ht="15.75">
      <c r="A45" s="6"/>
      <c r="B45" s="6"/>
      <c r="C45" s="6"/>
      <c r="D45" s="6"/>
      <c r="E45" s="6"/>
      <c r="F45" s="6"/>
      <c r="G45" s="6"/>
      <c r="H45" s="29">
        <f>IF(Source!BA29&lt;&gt;0,Source!S29/Source!BA29,Source!S29)+IF(Source!BB29&lt;&gt;0,Source!Q29/Source!BB29,Source!Q29)+H41+H42+H43</f>
        <v>288370.4449465192</v>
      </c>
      <c r="I45" s="30"/>
      <c r="J45" s="30"/>
      <c r="K45" s="29">
        <f>Source!S29+Source!Q29+K41+K42+K43</f>
        <v>1382114.35</v>
      </c>
      <c r="L45" s="30">
        <f>Source!U29</f>
        <v>1520.3822</v>
      </c>
      <c r="M45" s="24">
        <f>H45</f>
        <v>288370.4449465192</v>
      </c>
      <c r="N45">
        <f>IF(Source!BA29&lt;&gt;0,Source!S29/Source!BA29,Source!S29)</f>
        <v>12635.806451612903</v>
      </c>
      <c r="O45">
        <f>IF(Source!BI29=1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288370.4449465192</v>
      </c>
      <c r="P45">
        <f>IF(Source!BI29=2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Q45">
        <f>IF(Source!BI29=3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R45">
        <f>IF(Source!BI29=4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S45">
        <f>IF(Source!BI29=1,Source!O29+Source!X29+Source!Y29,0)</f>
        <v>1382114.35</v>
      </c>
      <c r="T45">
        <f>IF(Source!BI29=2,Source!O29+Source!X29+Source!Y29,0)</f>
        <v>0</v>
      </c>
      <c r="U45">
        <f>IF(Source!BI29=3,Source!O29+Source!X29+Source!Y29,0)</f>
        <v>0</v>
      </c>
      <c r="V45">
        <f>IF(Source!BI29=4,Source!O29+Source!X29+Source!Y29,0)</f>
        <v>0</v>
      </c>
      <c r="W45">
        <f>IF(Source!BS29&lt;&gt;0,Source!R29/Source!BS29,Source!R29)</f>
        <v>1575.828273244782</v>
      </c>
    </row>
    <row r="46" spans="1:12" ht="45">
      <c r="A46" s="19" t="str">
        <f>Source!E30</f>
        <v>4</v>
      </c>
      <c r="B46" s="19" t="str">
        <f>Source!F30</f>
        <v>08-04-001-9</v>
      </c>
      <c r="C46" s="20" t="str">
        <f>CONCATENATE(Source!G30,"  ",Source!CN30)</f>
        <v>Установка перегородок из гипсовых пазогребневых плит в 1 слой при высоте этажа до 4 м  </v>
      </c>
      <c r="D46" s="21" t="str">
        <f>Source!H30</f>
        <v>100 м2</v>
      </c>
      <c r="E46" s="8">
        <f>ROUND(Source!I30,6)</f>
        <v>7.4225</v>
      </c>
      <c r="F46" s="8">
        <f>IF(Source!AK30&lt;&gt;0,Source!AK30,Source!AL30+Source!AM30+Source!AO30)</f>
        <v>29502.62</v>
      </c>
      <c r="G46" s="8"/>
      <c r="H46" s="8"/>
      <c r="I46" s="8"/>
      <c r="J46" s="8"/>
      <c r="K46" s="8"/>
      <c r="L46" s="8"/>
    </row>
    <row r="47" spans="1:12" ht="15">
      <c r="A47" s="6"/>
      <c r="B47" s="6"/>
      <c r="C47" s="6" t="s">
        <v>405</v>
      </c>
      <c r="D47" s="6"/>
      <c r="E47" s="6"/>
      <c r="F47" s="6">
        <f>Source!AO30</f>
        <v>947.68</v>
      </c>
      <c r="G47" s="22">
        <f>Source!DG30</f>
      </c>
      <c r="H47" s="23">
        <f>IF(Source!BA30&lt;&gt;0,Source!S30/Source!BA30,Source!S30)</f>
        <v>7034.154648956358</v>
      </c>
      <c r="I47" s="6" t="str">
        <f>IF(Source!BO30&lt;&gt;"",Source!BO30,"")</f>
        <v>08-04-001-9</v>
      </c>
      <c r="J47" s="6">
        <f>Source!BA30</f>
        <v>10.54</v>
      </c>
      <c r="K47" s="23">
        <f>Source!S30</f>
        <v>74139.99</v>
      </c>
      <c r="L47" s="6"/>
    </row>
    <row r="48" spans="1:12" ht="15">
      <c r="A48" s="6"/>
      <c r="B48" s="6"/>
      <c r="C48" s="6" t="s">
        <v>52</v>
      </c>
      <c r="D48" s="6"/>
      <c r="E48" s="6"/>
      <c r="F48" s="6">
        <f>Source!AM30</f>
        <v>243.13</v>
      </c>
      <c r="G48" s="22">
        <f>Source!DE30</f>
      </c>
      <c r="H48" s="23">
        <f>IF(Source!BB30&lt;&gt;0,Source!Q30/Source!BB30,Source!Q30)</f>
        <v>1804.631775700935</v>
      </c>
      <c r="I48" s="6"/>
      <c r="J48" s="6">
        <f>Source!BB30</f>
        <v>5.35</v>
      </c>
      <c r="K48" s="23">
        <f>Source!Q30</f>
        <v>9654.78</v>
      </c>
      <c r="L48" s="6"/>
    </row>
    <row r="49" spans="1:12" ht="15">
      <c r="A49" s="6"/>
      <c r="B49" s="6"/>
      <c r="C49" s="6" t="s">
        <v>406</v>
      </c>
      <c r="D49" s="6"/>
      <c r="E49" s="6"/>
      <c r="F49" s="6">
        <f>Source!AN30</f>
        <v>26.33</v>
      </c>
      <c r="G49" s="22">
        <f>Source!DF30</f>
      </c>
      <c r="H49" s="25">
        <f>IF(Source!BS30&lt;&gt;0,Source!R30/Source!BS30,Source!R30)</f>
        <v>195.43453510436436</v>
      </c>
      <c r="I49" s="6"/>
      <c r="J49" s="6">
        <f>Source!BS30</f>
        <v>10.54</v>
      </c>
      <c r="K49" s="10">
        <f>Source!R30</f>
        <v>2059.88</v>
      </c>
      <c r="L49" s="6"/>
    </row>
    <row r="50" spans="1:12" ht="15">
      <c r="A50" s="6"/>
      <c r="B50" s="6"/>
      <c r="C50" s="6" t="s">
        <v>407</v>
      </c>
      <c r="D50" s="6"/>
      <c r="E50" s="6"/>
      <c r="F50" s="6">
        <f>Source!AL30</f>
        <v>28311.81</v>
      </c>
      <c r="G50" s="22">
        <f>Source!DD30</f>
      </c>
      <c r="H50" s="23">
        <f>IF(Source!BC30&lt;&gt;0,Source!P30/Source!BC30,Source!P30)</f>
        <v>210144.40860215054</v>
      </c>
      <c r="I50" s="6"/>
      <c r="J50" s="6">
        <f>Source!BC30</f>
        <v>2.79</v>
      </c>
      <c r="K50" s="23">
        <f>Source!P30</f>
        <v>586302.9</v>
      </c>
      <c r="L50" s="6"/>
    </row>
    <row r="51" spans="1:12" ht="15">
      <c r="A51" s="6"/>
      <c r="B51" s="6"/>
      <c r="C51" s="6" t="s">
        <v>408</v>
      </c>
      <c r="D51" s="10" t="s">
        <v>409</v>
      </c>
      <c r="E51" s="6"/>
      <c r="F51" s="6">
        <f>Source!BZ30</f>
        <v>114.68</v>
      </c>
      <c r="G51" s="6"/>
      <c r="H51" s="23">
        <f>(F51/100)*((Source!S30/IF(Source!BA30&lt;&gt;0,Source!BA30,1))+(Source!R30/IF(Source!BS30&lt;&gt;0,Source!BS30,1)))</f>
        <v>8290.892876280835</v>
      </c>
      <c r="I51" s="6"/>
      <c r="J51" s="6">
        <f>Source!AT30</f>
        <v>114.68</v>
      </c>
      <c r="K51" s="23">
        <f>Source!X30</f>
        <v>87386.01</v>
      </c>
      <c r="L51" s="6"/>
    </row>
    <row r="52" spans="1:12" ht="15">
      <c r="A52" s="6"/>
      <c r="B52" s="6"/>
      <c r="C52" s="6" t="s">
        <v>68</v>
      </c>
      <c r="D52" s="10" t="s">
        <v>409</v>
      </c>
      <c r="E52" s="6"/>
      <c r="F52" s="6">
        <f>Source!CA30</f>
        <v>80</v>
      </c>
      <c r="G52" s="6"/>
      <c r="H52" s="23">
        <f>(F52/100)*((Source!S30/IF(Source!BA30&lt;&gt;0,Source!BA30,1))+(Source!R30/IF(Source!BS30&lt;&gt;0,Source!BS30,1)))</f>
        <v>5783.671347248578</v>
      </c>
      <c r="I52" s="6"/>
      <c r="J52" s="6">
        <f>Source!AU30</f>
        <v>80</v>
      </c>
      <c r="K52" s="23">
        <f>Source!Y30</f>
        <v>60959.9</v>
      </c>
      <c r="L52" s="6"/>
    </row>
    <row r="53" spans="1:12" ht="15">
      <c r="A53" s="6"/>
      <c r="B53" s="6"/>
      <c r="C53" s="6" t="s">
        <v>410</v>
      </c>
      <c r="D53" s="10" t="s">
        <v>411</v>
      </c>
      <c r="E53" s="6">
        <f>Source!AQ30</f>
        <v>100.71</v>
      </c>
      <c r="F53" s="6"/>
      <c r="G53" s="22">
        <f>Source!DI30</f>
      </c>
      <c r="H53" s="6"/>
      <c r="I53" s="6"/>
      <c r="J53" s="6"/>
      <c r="K53" s="6"/>
      <c r="L53" s="6">
        <f>Source!U30</f>
        <v>747.5199749999999</v>
      </c>
    </row>
    <row r="54" spans="1:23" ht="30">
      <c r="A54" s="32"/>
      <c r="B54" s="32" t="str">
        <f>Source!F31</f>
        <v>101-9086-2</v>
      </c>
      <c r="C54" s="33" t="str">
        <f>CONCATENATE(Source!G31,"  ",Source!CN31)</f>
        <v>Сетка арматурная дорожная, кладочная, с квадратной ячейкой 50 мм, диаметром 4 мм  </v>
      </c>
      <c r="D54" s="34" t="str">
        <f>Source!H31</f>
        <v>т</v>
      </c>
      <c r="E54" s="35">
        <f>ROUND(Source!I31,6)</f>
        <v>1.645</v>
      </c>
      <c r="F54" s="35">
        <f>IF(Source!AL31=0,Source!AK31,Source!AL31)</f>
        <v>8212.72</v>
      </c>
      <c r="G54" s="36">
        <f>Source!DD31</f>
      </c>
      <c r="H54" s="37">
        <f>IF(Source!BC31&lt;&gt;0,Source!O31/Source!BC31,Source!O31)</f>
        <v>13509.924731182797</v>
      </c>
      <c r="I54" s="35"/>
      <c r="J54" s="35">
        <f>Source!BC31</f>
        <v>2.79</v>
      </c>
      <c r="K54" s="37">
        <f>Source!O31</f>
        <v>37692.69</v>
      </c>
      <c r="L54" s="35"/>
      <c r="N54">
        <f>IF(Source!BA31&lt;&gt;0,Source!S31/Source!BA31,Source!S31)</f>
        <v>0</v>
      </c>
      <c r="O54">
        <f>IF(Source!BI31=1,(IF(Source!BC31&lt;&gt;0,Source!O31/Source!BC31,Source!O31)),0)</f>
        <v>13509.924731182797</v>
      </c>
      <c r="P54">
        <f>IF(Source!BI31=2,(IF(Source!BC31&lt;&gt;0,Source!O31/Source!BC31,Source!O31)),0)</f>
        <v>0</v>
      </c>
      <c r="Q54">
        <f>IF(Source!BI31=3,(IF(Source!BC31&lt;&gt;0,Source!O31/Source!BC31,Source!O31)),0)</f>
        <v>0</v>
      </c>
      <c r="R54">
        <f>IF(Source!BI31=4,(IF(Source!BC31&lt;&gt;0,Source!O31/Source!BC31,Source!O31)),0)</f>
        <v>0</v>
      </c>
      <c r="S54">
        <f>IF(Source!BI31=1,Source!O31+Source!X31+Source!Y31,0)</f>
        <v>37692.69</v>
      </c>
      <c r="T54">
        <f>IF(Source!BI31=2,Source!O31+Source!X31+Source!Y31,0)</f>
        <v>0</v>
      </c>
      <c r="U54">
        <f>IF(Source!BI31=3,Source!O31+Source!X31+Source!Y31,0)</f>
        <v>0</v>
      </c>
      <c r="V54">
        <f>IF(Source!BI31=4,Source!O31+Source!X31+Source!Y31,0)</f>
        <v>0</v>
      </c>
      <c r="W54">
        <f>IF(Source!BS31&lt;&gt;0,Source!R31/Source!BS31,Source!R31)</f>
        <v>0</v>
      </c>
    </row>
    <row r="55" spans="1:23" ht="15.75">
      <c r="A55" s="6"/>
      <c r="B55" s="6"/>
      <c r="C55" s="6"/>
      <c r="D55" s="6"/>
      <c r="E55" s="6"/>
      <c r="F55" s="6"/>
      <c r="G55" s="6"/>
      <c r="H55" s="29">
        <f>IF(Source!BA30&lt;&gt;0,Source!S30/Source!BA30,Source!S30)+IF(Source!BB30&lt;&gt;0,Source!Q30/Source!BB30,Source!Q30)+H50+H51+H52+H54</f>
        <v>246567.68398152004</v>
      </c>
      <c r="I55" s="30"/>
      <c r="J55" s="30"/>
      <c r="K55" s="29">
        <f>Source!S30+Source!Q30+K50+K51+K52+K54</f>
        <v>856136.27</v>
      </c>
      <c r="L55" s="30">
        <f>Source!U30</f>
        <v>747.5199749999999</v>
      </c>
      <c r="M55" s="24">
        <f>H55</f>
        <v>246567.68398152004</v>
      </c>
      <c r="N55">
        <f>IF(Source!BA30&lt;&gt;0,Source!S30/Source!BA30,Source!S30)</f>
        <v>7034.154648956358</v>
      </c>
      <c r="O55">
        <f>IF(Source!BI30=1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233057.75925033723</v>
      </c>
      <c r="P55">
        <f>IF(Source!BI30=2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Q55">
        <f>IF(Source!BI30=3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R55">
        <f>IF(Source!BI30=4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S55">
        <f>IF(Source!BI30=1,Source!O30+Source!X30+Source!Y30,0)</f>
        <v>818443.5800000001</v>
      </c>
      <c r="T55">
        <f>IF(Source!BI30=2,Source!O30+Source!X30+Source!Y30,0)</f>
        <v>0</v>
      </c>
      <c r="U55">
        <f>IF(Source!BI30=3,Source!O30+Source!X30+Source!Y30,0)</f>
        <v>0</v>
      </c>
      <c r="V55">
        <f>IF(Source!BI30=4,Source!O30+Source!X30+Source!Y30,0)</f>
        <v>0</v>
      </c>
      <c r="W55">
        <f>IF(Source!BS30&lt;&gt;0,Source!R30/Source!BS30,Source!R30)</f>
        <v>195.43453510436436</v>
      </c>
    </row>
    <row r="57" spans="3:23" s="30" customFormat="1" ht="15.75">
      <c r="C57" s="30" t="s">
        <v>412</v>
      </c>
      <c r="G57" s="48">
        <f>SUM(M28:M56)</f>
        <v>671925.7500688621</v>
      </c>
      <c r="H57" s="48"/>
      <c r="J57" s="48">
        <f>ROUND(Source!AB26+Source!AK26+Source!AL26+Source!AE26*0/100,2)</f>
        <v>3024816.81</v>
      </c>
      <c r="K57" s="48"/>
      <c r="L57" s="30">
        <f>Source!AH26</f>
        <v>3795.01</v>
      </c>
      <c r="N57" s="29">
        <f aca="true" t="shared" si="0" ref="N57:W57">SUM(N28:N56)</f>
        <v>32696.170777988616</v>
      </c>
      <c r="O57" s="29">
        <f t="shared" si="0"/>
        <v>671925.7500688621</v>
      </c>
      <c r="P57" s="29">
        <f t="shared" si="0"/>
        <v>0</v>
      </c>
      <c r="Q57" s="29">
        <f t="shared" si="0"/>
        <v>0</v>
      </c>
      <c r="R57" s="29">
        <f t="shared" si="0"/>
        <v>0</v>
      </c>
      <c r="S57" s="29">
        <f t="shared" si="0"/>
        <v>3024816.81</v>
      </c>
      <c r="T57" s="29">
        <f t="shared" si="0"/>
        <v>0</v>
      </c>
      <c r="U57" s="29">
        <f t="shared" si="0"/>
        <v>0</v>
      </c>
      <c r="V57" s="29">
        <f t="shared" si="0"/>
        <v>0</v>
      </c>
      <c r="W57" s="30">
        <f t="shared" si="0"/>
        <v>2269.229601518027</v>
      </c>
    </row>
    <row r="59" spans="3:11" ht="18">
      <c r="C59" s="18" t="s">
        <v>404</v>
      </c>
      <c r="D59" s="46" t="str">
        <f>IF(Source!C12="1",Source!F47,Source!G47)</f>
        <v>Стены косоуры лестниц с 1-го этажа на 2 -й и в техподполье</v>
      </c>
      <c r="E59" s="47"/>
      <c r="F59" s="47"/>
      <c r="G59" s="47"/>
      <c r="H59" s="47"/>
      <c r="I59" s="47"/>
      <c r="J59" s="47"/>
      <c r="K59" s="47"/>
    </row>
    <row r="61" spans="1:12" ht="30">
      <c r="A61" s="19" t="str">
        <f>Source!E51</f>
        <v>1</v>
      </c>
      <c r="B61" s="19" t="str">
        <f>Source!F51</f>
        <v>08-02-001-7</v>
      </c>
      <c r="C61" s="20" t="str">
        <f>CONCATENATE(Source!G51,"  ",Source!CN51)</f>
        <v>Кладка стен кирпичных внутренних при высоте этажа до 4 м  </v>
      </c>
      <c r="D61" s="21" t="str">
        <f>Source!H51</f>
        <v>м3</v>
      </c>
      <c r="E61" s="8">
        <f>ROUND(Source!I51,6)</f>
        <v>87.57</v>
      </c>
      <c r="F61" s="8">
        <f>IF(Source!AK51&lt;&gt;0,Source!AK51,Source!AL51+Source!AM51+Source!AO51)</f>
        <v>893.37</v>
      </c>
      <c r="G61" s="8"/>
      <c r="H61" s="8"/>
      <c r="I61" s="8"/>
      <c r="J61" s="8"/>
      <c r="K61" s="8"/>
      <c r="L61" s="8"/>
    </row>
    <row r="62" spans="1:12" ht="15">
      <c r="A62" s="6"/>
      <c r="B62" s="6"/>
      <c r="C62" s="6" t="s">
        <v>405</v>
      </c>
      <c r="D62" s="6"/>
      <c r="E62" s="6"/>
      <c r="F62" s="6">
        <f>Source!AO51</f>
        <v>43.3</v>
      </c>
      <c r="G62" s="22">
        <f>Source!DG51</f>
      </c>
      <c r="H62" s="23">
        <f>IF(Source!BA51&lt;&gt;0,Source!S51/Source!BA51,Source!S51)</f>
        <v>3791.7808349146117</v>
      </c>
      <c r="I62" s="6" t="str">
        <f>IF(Source!BO51&lt;&gt;"",Source!BO51,"")</f>
        <v>08-02-001-7</v>
      </c>
      <c r="J62" s="6">
        <f>Source!BA51</f>
        <v>10.54</v>
      </c>
      <c r="K62" s="23">
        <f>Source!S51</f>
        <v>39965.37</v>
      </c>
      <c r="L62" s="6"/>
    </row>
    <row r="63" spans="1:12" ht="15">
      <c r="A63" s="6"/>
      <c r="B63" s="6"/>
      <c r="C63" s="6" t="s">
        <v>52</v>
      </c>
      <c r="D63" s="6"/>
      <c r="E63" s="6"/>
      <c r="F63" s="6">
        <f>Source!AM51</f>
        <v>34.56</v>
      </c>
      <c r="G63" s="22">
        <f>Source!DE51</f>
      </c>
      <c r="H63" s="23">
        <f>IF(Source!BB51&lt;&gt;0,Source!Q51/Source!BB51,Source!Q51)</f>
        <v>3026.4189435336975</v>
      </c>
      <c r="I63" s="6"/>
      <c r="J63" s="6">
        <f>Source!BB51</f>
        <v>5.49</v>
      </c>
      <c r="K63" s="23">
        <f>Source!Q51</f>
        <v>16615.04</v>
      </c>
      <c r="L63" s="6"/>
    </row>
    <row r="64" spans="1:12" ht="15">
      <c r="A64" s="6"/>
      <c r="B64" s="6"/>
      <c r="C64" s="6" t="s">
        <v>406</v>
      </c>
      <c r="D64" s="6"/>
      <c r="E64" s="6"/>
      <c r="F64" s="6">
        <f>Source!AN51</f>
        <v>5.4</v>
      </c>
      <c r="G64" s="22">
        <f>Source!DF51</f>
      </c>
      <c r="H64" s="25">
        <f>IF(Source!BS51&lt;&gt;0,Source!R51/Source!BS51,Source!R51)</f>
        <v>472.87760910815945</v>
      </c>
      <c r="I64" s="6"/>
      <c r="J64" s="6">
        <f>Source!BS51</f>
        <v>10.54</v>
      </c>
      <c r="K64" s="10">
        <f>Source!R51</f>
        <v>4984.13</v>
      </c>
      <c r="L64" s="6"/>
    </row>
    <row r="65" spans="1:12" ht="15">
      <c r="A65" s="6"/>
      <c r="B65" s="6"/>
      <c r="C65" s="6" t="s">
        <v>407</v>
      </c>
      <c r="D65" s="6"/>
      <c r="E65" s="6"/>
      <c r="F65" s="6">
        <f>Source!AL51</f>
        <v>815.51</v>
      </c>
      <c r="G65" s="22">
        <f>Source!DD51</f>
      </c>
      <c r="H65" s="23">
        <f>IF(Source!BC51&lt;&gt;0,Source!P51/Source!BC51,Source!P51)</f>
        <v>71414.21108179419</v>
      </c>
      <c r="I65" s="6"/>
      <c r="J65" s="6">
        <f>Source!BC51</f>
        <v>3.79</v>
      </c>
      <c r="K65" s="23">
        <f>Source!P51</f>
        <v>270659.86</v>
      </c>
      <c r="L65" s="6"/>
    </row>
    <row r="66" spans="1:12" ht="15">
      <c r="A66" s="6"/>
      <c r="B66" s="6"/>
      <c r="C66" s="6" t="s">
        <v>408</v>
      </c>
      <c r="D66" s="10" t="s">
        <v>409</v>
      </c>
      <c r="E66" s="6"/>
      <c r="F66" s="6">
        <f>Source!BZ51</f>
        <v>114.68</v>
      </c>
      <c r="G66" s="6"/>
      <c r="H66" s="23">
        <f>(F66/100)*((Source!S51/IF(Source!BA51&lt;&gt;0,Source!BA51,1))+(Source!R51/IF(Source!BS51&lt;&gt;0,Source!BS51,1)))</f>
        <v>4890.710303605314</v>
      </c>
      <c r="I66" s="6"/>
      <c r="J66" s="6">
        <f>Source!AT51</f>
        <v>114.68</v>
      </c>
      <c r="K66" s="23">
        <f>Source!X51</f>
        <v>51548.09</v>
      </c>
      <c r="L66" s="6"/>
    </row>
    <row r="67" spans="1:12" ht="15">
      <c r="A67" s="6"/>
      <c r="B67" s="6"/>
      <c r="C67" s="6" t="s">
        <v>68</v>
      </c>
      <c r="D67" s="10" t="s">
        <v>409</v>
      </c>
      <c r="E67" s="6"/>
      <c r="F67" s="6">
        <f>Source!CA51</f>
        <v>80</v>
      </c>
      <c r="G67" s="6"/>
      <c r="H67" s="23">
        <f>(F67/100)*((Source!S51/IF(Source!BA51&lt;&gt;0,Source!BA51,1))+(Source!R51/IF(Source!BS51&lt;&gt;0,Source!BS51,1)))</f>
        <v>3411.7267552182166</v>
      </c>
      <c r="I67" s="6"/>
      <c r="J67" s="6">
        <f>Source!AU51</f>
        <v>80</v>
      </c>
      <c r="K67" s="23">
        <f>Source!Y51</f>
        <v>35959.6</v>
      </c>
      <c r="L67" s="6"/>
    </row>
    <row r="68" spans="1:12" ht="15">
      <c r="A68" s="26"/>
      <c r="B68" s="26"/>
      <c r="C68" s="26" t="s">
        <v>410</v>
      </c>
      <c r="D68" s="27" t="s">
        <v>411</v>
      </c>
      <c r="E68" s="26">
        <f>Source!AQ51</f>
        <v>5.21</v>
      </c>
      <c r="F68" s="26"/>
      <c r="G68" s="28">
        <f>Source!DI51</f>
      </c>
      <c r="H68" s="26"/>
      <c r="I68" s="26"/>
      <c r="J68" s="26"/>
      <c r="K68" s="26"/>
      <c r="L68" s="26">
        <f>Source!U51</f>
        <v>456.23969999999997</v>
      </c>
    </row>
    <row r="69" spans="1:23" ht="15.75">
      <c r="A69" s="6"/>
      <c r="B69" s="6"/>
      <c r="C69" s="6"/>
      <c r="D69" s="6"/>
      <c r="E69" s="6"/>
      <c r="F69" s="6"/>
      <c r="G69" s="6"/>
      <c r="H69" s="29">
        <f>IF(Source!BA51&lt;&gt;0,Source!S51/Source!BA51,Source!S51)+IF(Source!BB51&lt;&gt;0,Source!Q51/Source!BB51,Source!Q51)+H65+H66+H67</f>
        <v>86534.84791906603</v>
      </c>
      <c r="I69" s="30"/>
      <c r="J69" s="30"/>
      <c r="K69" s="29">
        <f>Source!S51+Source!Q51+K65+K66+K67</f>
        <v>414747.95999999996</v>
      </c>
      <c r="L69" s="30">
        <f>Source!U51</f>
        <v>456.23969999999997</v>
      </c>
      <c r="M69" s="24">
        <f>H69</f>
        <v>86534.84791906603</v>
      </c>
      <c r="N69">
        <f>IF(Source!BA51&lt;&gt;0,Source!S51/Source!BA51,Source!S51)</f>
        <v>3791.7808349146117</v>
      </c>
      <c r="O69">
        <f>IF(Source!BI51=1,(IF(Source!BA51&lt;&gt;0,Source!S51/Source!BA51,Source!S51)+IF(Source!BB51&lt;&gt;0,Source!Q51/Source!BB51,Source!Q51)+IF(Source!BC51&lt;&gt;0,Source!P51/Source!BC51,Source!P51)+((Source!BZ51/100)*((Source!S51/IF(Source!BA51&lt;&gt;0,Source!BA51,1))+(Source!R51/IF(Source!BS51&lt;&gt;0,Source!BS51,1))))+((Source!CA51/100)*((Source!S51/IF(Source!BA51&lt;&gt;0,Source!BA51,1))+(Source!R51/IF(Source!BS51&lt;&gt;0,Source!BS51,1))))),0)</f>
        <v>86534.84791906603</v>
      </c>
      <c r="P69">
        <f>IF(Source!BI51=2,(IF(Source!BA51&lt;&gt;0,Source!S51/Source!BA51,Source!S51)+IF(Source!BB51&lt;&gt;0,Source!Q51/Source!BB51,Source!Q51)+IF(Source!BC51&lt;&gt;0,Source!P51/Source!BC51,Source!P51)+((Source!BZ51/100)*((Source!S51/IF(Source!BA51&lt;&gt;0,Source!BA51,1))+(Source!R51/IF(Source!BS51&lt;&gt;0,Source!BS51,1))))+((Source!CA51/100)*((Source!S51/IF(Source!BA51&lt;&gt;0,Source!BA51,1))+(Source!R51/IF(Source!BS51&lt;&gt;0,Source!BS51,1))))),0)</f>
        <v>0</v>
      </c>
      <c r="Q69">
        <f>IF(Source!BI51=3,(IF(Source!BA51&lt;&gt;0,Source!S51/Source!BA51,Source!S51)+IF(Source!BB51&lt;&gt;0,Source!Q51/Source!BB51,Source!Q51)+IF(Source!BC51&lt;&gt;0,Source!P51/Source!BC51,Source!P51)+((Source!BZ51/100)*((Source!S51/IF(Source!BA51&lt;&gt;0,Source!BA51,1))+(Source!R51/IF(Source!BS51&lt;&gt;0,Source!BS51,1))))+((Source!CA51/100)*((Source!S51/IF(Source!BA51&lt;&gt;0,Source!BA51,1))+(Source!R51/IF(Source!BS51&lt;&gt;0,Source!BS51,1))))),0)</f>
        <v>0</v>
      </c>
      <c r="R69">
        <f>IF(Source!BI51=4,(IF(Source!BA51&lt;&gt;0,Source!S51/Source!BA51,Source!S51)+IF(Source!BB51&lt;&gt;0,Source!Q51/Source!BB51,Source!Q51)+IF(Source!BC51&lt;&gt;0,Source!P51/Source!BC51,Source!P51)+((Source!BZ51/100)*((Source!S51/IF(Source!BA51&lt;&gt;0,Source!BA51,1))+(Source!R51/IF(Source!BS51&lt;&gt;0,Source!BS51,1))))+((Source!CA51/100)*((Source!S51/IF(Source!BA51&lt;&gt;0,Source!BA51,1))+(Source!R51/IF(Source!BS51&lt;&gt;0,Source!BS51,1))))),0)</f>
        <v>0</v>
      </c>
      <c r="S69">
        <f>IF(Source!BI51=1,Source!O51+Source!X51+Source!Y51,0)</f>
        <v>414747.95999999996</v>
      </c>
      <c r="T69">
        <f>IF(Source!BI51=2,Source!O51+Source!X51+Source!Y51,0)</f>
        <v>0</v>
      </c>
      <c r="U69">
        <f>IF(Source!BI51=3,Source!O51+Source!X51+Source!Y51,0)</f>
        <v>0</v>
      </c>
      <c r="V69">
        <f>IF(Source!BI51=4,Source!O51+Source!X51+Source!Y51,0)</f>
        <v>0</v>
      </c>
      <c r="W69">
        <f>IF(Source!BS51&lt;&gt;0,Source!R51/Source!BS51,Source!R51)</f>
        <v>472.87760910815945</v>
      </c>
    </row>
    <row r="70" spans="1:12" ht="30">
      <c r="A70" s="19" t="str">
        <f>Source!E52</f>
        <v>2</v>
      </c>
      <c r="B70" s="19" t="str">
        <f>Source!F52</f>
        <v>07-05-015-1</v>
      </c>
      <c r="C70" s="20" t="str">
        <f>CONCATENATE(Source!G52,"  ",Source!CN52)</f>
        <v>Устройство лестниц по готовому основанию из отдельных ступеней гладких  </v>
      </c>
      <c r="D70" s="21" t="str">
        <f>Source!H52</f>
        <v>100 м</v>
      </c>
      <c r="E70" s="8">
        <f>ROUND(Source!I52,6)</f>
        <v>2.82</v>
      </c>
      <c r="F70" s="8">
        <f>IF(Source!AK52&lt;&gt;0,Source!AK52,Source!AL52+Source!AM52+Source!AO52)</f>
        <v>15255.81</v>
      </c>
      <c r="G70" s="8"/>
      <c r="H70" s="8"/>
      <c r="I70" s="8"/>
      <c r="J70" s="8"/>
      <c r="K70" s="8"/>
      <c r="L70" s="8"/>
    </row>
    <row r="71" spans="1:12" ht="15">
      <c r="A71" s="6"/>
      <c r="B71" s="6"/>
      <c r="C71" s="6" t="s">
        <v>405</v>
      </c>
      <c r="D71" s="6"/>
      <c r="E71" s="6"/>
      <c r="F71" s="6">
        <f>Source!AO52</f>
        <v>1068.9</v>
      </c>
      <c r="G71" s="22">
        <f>Source!DG52</f>
      </c>
      <c r="H71" s="23">
        <f>IF(Source!BA52&lt;&gt;0,Source!S52/Source!BA52,Source!S52)</f>
        <v>3014.2979127134727</v>
      </c>
      <c r="I71" s="6" t="str">
        <f>IF(Source!BO52&lt;&gt;"",Source!BO52,"")</f>
        <v>07-05-015-1</v>
      </c>
      <c r="J71" s="6">
        <f>Source!BA52</f>
        <v>10.54</v>
      </c>
      <c r="K71" s="23">
        <f>Source!S52</f>
        <v>31770.7</v>
      </c>
      <c r="L71" s="6"/>
    </row>
    <row r="72" spans="1:12" ht="15">
      <c r="A72" s="6"/>
      <c r="B72" s="6"/>
      <c r="C72" s="6" t="s">
        <v>52</v>
      </c>
      <c r="D72" s="6"/>
      <c r="E72" s="6"/>
      <c r="F72" s="6">
        <f>Source!AM52</f>
        <v>132.43</v>
      </c>
      <c r="G72" s="22">
        <f>Source!DE52</f>
      </c>
      <c r="H72" s="23">
        <f>IF(Source!BB52&lt;&gt;0,Source!Q52/Source!BB52,Source!Q52)</f>
        <v>373.45286885245906</v>
      </c>
      <c r="I72" s="6"/>
      <c r="J72" s="6">
        <f>Source!BB52</f>
        <v>4.88</v>
      </c>
      <c r="K72" s="23">
        <f>Source!Q52</f>
        <v>1822.45</v>
      </c>
      <c r="L72" s="6"/>
    </row>
    <row r="73" spans="1:12" ht="15">
      <c r="A73" s="6"/>
      <c r="B73" s="6"/>
      <c r="C73" s="6" t="s">
        <v>406</v>
      </c>
      <c r="D73" s="6"/>
      <c r="E73" s="6"/>
      <c r="F73" s="6">
        <f>Source!AN52</f>
        <v>7.97</v>
      </c>
      <c r="G73" s="22">
        <f>Source!DF52</f>
      </c>
      <c r="H73" s="25">
        <f>IF(Source!BS52&lt;&gt;0,Source!R52/Source!BS52,Source!R52)</f>
        <v>22.475332068311197</v>
      </c>
      <c r="I73" s="6"/>
      <c r="J73" s="6">
        <f>Source!BS52</f>
        <v>10.54</v>
      </c>
      <c r="K73" s="10">
        <f>Source!R52</f>
        <v>236.89</v>
      </c>
      <c r="L73" s="6"/>
    </row>
    <row r="74" spans="1:12" ht="15">
      <c r="A74" s="6"/>
      <c r="B74" s="6"/>
      <c r="C74" s="6" t="s">
        <v>407</v>
      </c>
      <c r="D74" s="6"/>
      <c r="E74" s="6"/>
      <c r="F74" s="6">
        <f>Source!AL52</f>
        <v>14054.48</v>
      </c>
      <c r="G74" s="22">
        <f>Source!DD52</f>
      </c>
      <c r="H74" s="23">
        <f>IF(Source!BC52&lt;&gt;0,Source!P52/Source!BC52,Source!P52)</f>
        <v>39633.63265306122</v>
      </c>
      <c r="I74" s="6"/>
      <c r="J74" s="6">
        <f>Source!BC52</f>
        <v>4.9</v>
      </c>
      <c r="K74" s="23">
        <f>Source!P52</f>
        <v>194204.8</v>
      </c>
      <c r="L74" s="6"/>
    </row>
    <row r="75" spans="1:12" ht="15">
      <c r="A75" s="6"/>
      <c r="B75" s="6"/>
      <c r="C75" s="6" t="s">
        <v>408</v>
      </c>
      <c r="D75" s="10" t="s">
        <v>409</v>
      </c>
      <c r="E75" s="6"/>
      <c r="F75" s="6">
        <f>Source!BZ52</f>
        <v>145.7</v>
      </c>
      <c r="G75" s="6"/>
      <c r="H75" s="23">
        <f>(F75/100)*((Source!S52/IF(Source!BA52&lt;&gt;0,Source!BA52,1))+(Source!R52/IF(Source!BS52&lt;&gt;0,Source!BS52,1)))</f>
        <v>4424.578617647058</v>
      </c>
      <c r="I75" s="6"/>
      <c r="J75" s="6">
        <f>Source!AT52</f>
        <v>145.7</v>
      </c>
      <c r="K75" s="23">
        <f>Source!X52</f>
        <v>46635.06</v>
      </c>
      <c r="L75" s="6"/>
    </row>
    <row r="76" spans="1:12" ht="15">
      <c r="A76" s="6"/>
      <c r="B76" s="6"/>
      <c r="C76" s="6" t="s">
        <v>68</v>
      </c>
      <c r="D76" s="10" t="s">
        <v>409</v>
      </c>
      <c r="E76" s="6"/>
      <c r="F76" s="6">
        <f>Source!CA52</f>
        <v>100</v>
      </c>
      <c r="G76" s="6"/>
      <c r="H76" s="23">
        <f>(F76/100)*((Source!S52/IF(Source!BA52&lt;&gt;0,Source!BA52,1))+(Source!R52/IF(Source!BS52&lt;&gt;0,Source!BS52,1)))</f>
        <v>3036.773244781784</v>
      </c>
      <c r="I76" s="6"/>
      <c r="J76" s="6">
        <f>Source!AU52</f>
        <v>100</v>
      </c>
      <c r="K76" s="23">
        <f>Source!Y52</f>
        <v>32007.59</v>
      </c>
      <c r="L76" s="6"/>
    </row>
    <row r="77" spans="1:12" ht="15">
      <c r="A77" s="26"/>
      <c r="B77" s="26"/>
      <c r="C77" s="26" t="s">
        <v>410</v>
      </c>
      <c r="D77" s="27" t="s">
        <v>411</v>
      </c>
      <c r="E77" s="26">
        <f>Source!AQ52</f>
        <v>117.72</v>
      </c>
      <c r="F77" s="26"/>
      <c r="G77" s="28">
        <f>Source!DI52</f>
      </c>
      <c r="H77" s="26"/>
      <c r="I77" s="26"/>
      <c r="J77" s="26"/>
      <c r="K77" s="26"/>
      <c r="L77" s="26">
        <f>Source!U52</f>
        <v>331.9704</v>
      </c>
    </row>
    <row r="78" spans="1:23" ht="15.75">
      <c r="A78" s="6"/>
      <c r="B78" s="6"/>
      <c r="C78" s="6"/>
      <c r="D78" s="6"/>
      <c r="E78" s="6"/>
      <c r="F78" s="6"/>
      <c r="G78" s="6"/>
      <c r="H78" s="29">
        <f>IF(Source!BA52&lt;&gt;0,Source!S52/Source!BA52,Source!S52)+IF(Source!BB52&lt;&gt;0,Source!Q52/Source!BB52,Source!Q52)+H74+H75+H76</f>
        <v>50482.735297055995</v>
      </c>
      <c r="I78" s="30"/>
      <c r="J78" s="30"/>
      <c r="K78" s="29">
        <f>Source!S52+Source!Q52+K74+K75+K76</f>
        <v>306440.60000000003</v>
      </c>
      <c r="L78" s="30">
        <f>Source!U52</f>
        <v>331.9704</v>
      </c>
      <c r="M78" s="24">
        <f>H78</f>
        <v>50482.735297055995</v>
      </c>
      <c r="N78">
        <f>IF(Source!BA52&lt;&gt;0,Source!S52/Source!BA52,Source!S52)</f>
        <v>3014.2979127134727</v>
      </c>
      <c r="O78">
        <f>IF(Source!BI52=1,(IF(Source!BA52&lt;&gt;0,Source!S52/Source!BA52,Source!S52)+IF(Source!BB52&lt;&gt;0,Source!Q52/Source!BB52,Source!Q52)+IF(Source!BC52&lt;&gt;0,Source!P52/Source!BC52,Source!P52)+((Source!BZ52/100)*((Source!S52/IF(Source!BA52&lt;&gt;0,Source!BA52,1))+(Source!R52/IF(Source!BS52&lt;&gt;0,Source!BS52,1))))+((Source!CA52/100)*((Source!S52/IF(Source!BA52&lt;&gt;0,Source!BA52,1))+(Source!R52/IF(Source!BS52&lt;&gt;0,Source!BS52,1))))),0)</f>
        <v>50482.735297055995</v>
      </c>
      <c r="P78">
        <f>IF(Source!BI52=2,(IF(Source!BA52&lt;&gt;0,Source!S52/Source!BA52,Source!S52)+IF(Source!BB52&lt;&gt;0,Source!Q52/Source!BB52,Source!Q52)+IF(Source!BC52&lt;&gt;0,Source!P52/Source!BC52,Source!P52)+((Source!BZ52/100)*((Source!S52/IF(Source!BA52&lt;&gt;0,Source!BA52,1))+(Source!R52/IF(Source!BS52&lt;&gt;0,Source!BS52,1))))+((Source!CA52/100)*((Source!S52/IF(Source!BA52&lt;&gt;0,Source!BA52,1))+(Source!R52/IF(Source!BS52&lt;&gt;0,Source!BS52,1))))),0)</f>
        <v>0</v>
      </c>
      <c r="Q78">
        <f>IF(Source!BI52=3,(IF(Source!BA52&lt;&gt;0,Source!S52/Source!BA52,Source!S52)+IF(Source!BB52&lt;&gt;0,Source!Q52/Source!BB52,Source!Q52)+IF(Source!BC52&lt;&gt;0,Source!P52/Source!BC52,Source!P52)+((Source!BZ52/100)*((Source!S52/IF(Source!BA52&lt;&gt;0,Source!BA52,1))+(Source!R52/IF(Source!BS52&lt;&gt;0,Source!BS52,1))))+((Source!CA52/100)*((Source!S52/IF(Source!BA52&lt;&gt;0,Source!BA52,1))+(Source!R52/IF(Source!BS52&lt;&gt;0,Source!BS52,1))))),0)</f>
        <v>0</v>
      </c>
      <c r="R78">
        <f>IF(Source!BI52=4,(IF(Source!BA52&lt;&gt;0,Source!S52/Source!BA52,Source!S52)+IF(Source!BB52&lt;&gt;0,Source!Q52/Source!BB52,Source!Q52)+IF(Source!BC52&lt;&gt;0,Source!P52/Source!BC52,Source!P52)+((Source!BZ52/100)*((Source!S52/IF(Source!BA52&lt;&gt;0,Source!BA52,1))+(Source!R52/IF(Source!BS52&lt;&gt;0,Source!BS52,1))))+((Source!CA52/100)*((Source!S52/IF(Source!BA52&lt;&gt;0,Source!BA52,1))+(Source!R52/IF(Source!BS52&lt;&gt;0,Source!BS52,1))))),0)</f>
        <v>0</v>
      </c>
      <c r="S78">
        <f>IF(Source!BI52=1,Source!O52+Source!X52+Source!Y52,0)</f>
        <v>306440.60000000003</v>
      </c>
      <c r="T78">
        <f>IF(Source!BI52=2,Source!O52+Source!X52+Source!Y52,0)</f>
        <v>0</v>
      </c>
      <c r="U78">
        <f>IF(Source!BI52=3,Source!O52+Source!X52+Source!Y52,0)</f>
        <v>0</v>
      </c>
      <c r="V78">
        <f>IF(Source!BI52=4,Source!O52+Source!X52+Source!Y52,0)</f>
        <v>0</v>
      </c>
      <c r="W78">
        <f>IF(Source!BS52&lt;&gt;0,Source!R52/Source!BS52,Source!R52)</f>
        <v>22.475332068311197</v>
      </c>
    </row>
    <row r="79" spans="1:12" ht="45">
      <c r="A79" s="19" t="str">
        <f>Source!E53</f>
        <v>3</v>
      </c>
      <c r="B79" s="19" t="str">
        <f>Source!F53</f>
        <v>06-01-041-1</v>
      </c>
      <c r="C79" s="20" t="str">
        <f>CONCATENATE(Source!G53,"  ",Source!CN53)</f>
        <v>Устройство перекрытий безбалочных толщиной до 200 мм, на высоте от опорной площади до 6 м  </v>
      </c>
      <c r="D79" s="21" t="str">
        <f>Source!H53</f>
        <v>100 м3</v>
      </c>
      <c r="E79" s="8">
        <f>ROUND(Source!I53,6)</f>
        <v>0.021</v>
      </c>
      <c r="F79" s="8">
        <f>IF(Source!AK53&lt;&gt;0,Source!AK53,Source!AL53+Source!AM53+Source!AO53)</f>
        <v>146623.4</v>
      </c>
      <c r="G79" s="8"/>
      <c r="H79" s="8"/>
      <c r="I79" s="8"/>
      <c r="J79" s="8"/>
      <c r="K79" s="8"/>
      <c r="L79" s="8"/>
    </row>
    <row r="80" spans="1:12" ht="15">
      <c r="A80" s="6"/>
      <c r="B80" s="6"/>
      <c r="C80" s="6" t="s">
        <v>405</v>
      </c>
      <c r="D80" s="6"/>
      <c r="E80" s="6"/>
      <c r="F80" s="6">
        <f>Source!AO53</f>
        <v>8217.33</v>
      </c>
      <c r="G80" s="22">
        <f>Source!DG53</f>
      </c>
      <c r="H80" s="23">
        <f>IF(Source!BA53&lt;&gt;0,Source!S53/Source!BA53,Source!S53)</f>
        <v>172.56356736242884</v>
      </c>
      <c r="I80" s="6" t="str">
        <f>IF(Source!BO53&lt;&gt;"",Source!BO53,"")</f>
        <v>06-01-041-1</v>
      </c>
      <c r="J80" s="6">
        <f>Source!BA53</f>
        <v>10.54</v>
      </c>
      <c r="K80" s="23">
        <f>Source!S53</f>
        <v>1818.82</v>
      </c>
      <c r="L80" s="6"/>
    </row>
    <row r="81" spans="1:12" ht="15">
      <c r="A81" s="6"/>
      <c r="B81" s="6"/>
      <c r="C81" s="6" t="s">
        <v>52</v>
      </c>
      <c r="D81" s="6"/>
      <c r="E81" s="6"/>
      <c r="F81" s="6">
        <f>Source!AM53</f>
        <v>2741.74</v>
      </c>
      <c r="G81" s="22">
        <f>Source!DE53</f>
      </c>
      <c r="H81" s="23">
        <f>IF(Source!BB53&lt;&gt;0,Source!Q53/Source!BB53,Source!Q53)</f>
        <v>57.576427255985266</v>
      </c>
      <c r="I81" s="6"/>
      <c r="J81" s="6">
        <f>Source!BB53</f>
        <v>5.43</v>
      </c>
      <c r="K81" s="23">
        <f>Source!Q53</f>
        <v>312.64</v>
      </c>
      <c r="L81" s="6"/>
    </row>
    <row r="82" spans="1:12" ht="15">
      <c r="A82" s="6"/>
      <c r="B82" s="6"/>
      <c r="C82" s="6" t="s">
        <v>406</v>
      </c>
      <c r="D82" s="6"/>
      <c r="E82" s="6"/>
      <c r="F82" s="6">
        <f>Source!AN53</f>
        <v>400.97</v>
      </c>
      <c r="G82" s="22">
        <f>Source!DF53</f>
      </c>
      <c r="H82" s="25">
        <f>IF(Source!BS53&lt;&gt;0,Source!R53/Source!BS53,Source!R53)</f>
        <v>8.420303605313094</v>
      </c>
      <c r="I82" s="6"/>
      <c r="J82" s="6">
        <f>Source!BS53</f>
        <v>10.54</v>
      </c>
      <c r="K82" s="10">
        <f>Source!R53</f>
        <v>88.75</v>
      </c>
      <c r="L82" s="6"/>
    </row>
    <row r="83" spans="1:12" ht="15">
      <c r="A83" s="6"/>
      <c r="B83" s="6"/>
      <c r="C83" s="6" t="s">
        <v>407</v>
      </c>
      <c r="D83" s="6"/>
      <c r="E83" s="6"/>
      <c r="F83" s="6">
        <f>Source!AL53</f>
        <v>135664.33</v>
      </c>
      <c r="G83" s="22">
        <f>Source!DD53</f>
      </c>
      <c r="H83" s="23">
        <f>IF(Source!BC53&lt;&gt;0,Source!P53/Source!BC53,Source!P53)</f>
        <v>1431.5032967032969</v>
      </c>
      <c r="I83" s="6"/>
      <c r="J83" s="6">
        <f>Source!BC53</f>
        <v>4.55</v>
      </c>
      <c r="K83" s="23">
        <f>Source!P53</f>
        <v>6513.34</v>
      </c>
      <c r="L83" s="6"/>
    </row>
    <row r="84" spans="1:12" ht="15">
      <c r="A84" s="6"/>
      <c r="B84" s="6"/>
      <c r="C84" s="6" t="s">
        <v>408</v>
      </c>
      <c r="D84" s="10" t="s">
        <v>409</v>
      </c>
      <c r="E84" s="6"/>
      <c r="F84" s="6">
        <f>Source!BZ53</f>
        <v>98.7</v>
      </c>
      <c r="G84" s="6"/>
      <c r="H84" s="23">
        <f>(F84/100)*((Source!S53/IF(Source!BA53&lt;&gt;0,Source!BA53,1))+(Source!R53/IF(Source!BS53&lt;&gt;0,Source!BS53,1)))</f>
        <v>178.6310806451613</v>
      </c>
      <c r="I84" s="6"/>
      <c r="J84" s="6">
        <f>Source!AT53</f>
        <v>98.7</v>
      </c>
      <c r="K84" s="23">
        <f>Source!X53</f>
        <v>1882.77</v>
      </c>
      <c r="L84" s="6"/>
    </row>
    <row r="85" spans="1:12" ht="15">
      <c r="A85" s="6"/>
      <c r="B85" s="6"/>
      <c r="C85" s="6" t="s">
        <v>68</v>
      </c>
      <c r="D85" s="10" t="s">
        <v>409</v>
      </c>
      <c r="E85" s="6"/>
      <c r="F85" s="6">
        <f>Source!CA53</f>
        <v>65</v>
      </c>
      <c r="G85" s="6"/>
      <c r="H85" s="23">
        <f>(F85/100)*((Source!S53/IF(Source!BA53&lt;&gt;0,Source!BA53,1))+(Source!R53/IF(Source!BS53&lt;&gt;0,Source!BS53,1)))</f>
        <v>117.63951612903227</v>
      </c>
      <c r="I85" s="6"/>
      <c r="J85" s="6">
        <f>Source!AU53</f>
        <v>65</v>
      </c>
      <c r="K85" s="23">
        <f>Source!Y53</f>
        <v>1239.92</v>
      </c>
      <c r="L85" s="6"/>
    </row>
    <row r="86" spans="1:12" ht="15">
      <c r="A86" s="6"/>
      <c r="B86" s="6"/>
      <c r="C86" s="6" t="s">
        <v>410</v>
      </c>
      <c r="D86" s="10" t="s">
        <v>411</v>
      </c>
      <c r="E86" s="6">
        <f>Source!AQ53</f>
        <v>951.08</v>
      </c>
      <c r="F86" s="6"/>
      <c r="G86" s="22">
        <f>Source!DI53</f>
      </c>
      <c r="H86" s="6"/>
      <c r="I86" s="6"/>
      <c r="J86" s="6"/>
      <c r="K86" s="6"/>
      <c r="L86" s="6">
        <f>Source!U53</f>
        <v>19.97268</v>
      </c>
    </row>
    <row r="87" spans="1:23" ht="30">
      <c r="A87" s="19"/>
      <c r="B87" s="19" t="str">
        <f>Source!F54</f>
        <v>401-0066</v>
      </c>
      <c r="C87" s="20" t="str">
        <f>CONCATENATE(Source!G54,"  ",Source!CN54)</f>
        <v>Бетон тяжелый, крупность заполнителя 20 мм, класс В 15 (М200)  </v>
      </c>
      <c r="D87" s="21" t="str">
        <f>Source!H54</f>
        <v>м3</v>
      </c>
      <c r="E87" s="8">
        <f>ROUND(Source!I54,6)</f>
        <v>-2.1315</v>
      </c>
      <c r="F87" s="8">
        <f>IF(Source!AL54=0,Source!AK54,Source!AL54)</f>
        <v>665</v>
      </c>
      <c r="G87" s="31">
        <f>Source!DD54</f>
      </c>
      <c r="H87" s="9">
        <f>IF(Source!BC54&lt;&gt;0,Source!O54/Source!BC54,Source!O54)</f>
        <v>-1417.4483516483517</v>
      </c>
      <c r="I87" s="8"/>
      <c r="J87" s="8">
        <f>Source!BC54</f>
        <v>4.55</v>
      </c>
      <c r="K87" s="9">
        <f>Source!O54</f>
        <v>-6449.39</v>
      </c>
      <c r="L87" s="8"/>
      <c r="N87">
        <f>IF(Source!BA54&lt;&gt;0,Source!S54/Source!BA54,Source!S54)</f>
        <v>0</v>
      </c>
      <c r="O87">
        <f>IF(Source!BI54=1,(IF(Source!BC54&lt;&gt;0,Source!O54/Source!BC54,Source!O54)),0)</f>
        <v>-1417.4483516483517</v>
      </c>
      <c r="P87">
        <f>IF(Source!BI54=2,(IF(Source!BC54&lt;&gt;0,Source!O54/Source!BC54,Source!O54)),0)</f>
        <v>0</v>
      </c>
      <c r="Q87">
        <f>IF(Source!BI54=3,(IF(Source!BC54&lt;&gt;0,Source!O54/Source!BC54,Source!O54)),0)</f>
        <v>0</v>
      </c>
      <c r="R87">
        <f>IF(Source!BI54=4,(IF(Source!BC54&lt;&gt;0,Source!O54/Source!BC54,Source!O54)),0)</f>
        <v>0</v>
      </c>
      <c r="S87">
        <f>IF(Source!BI54=1,Source!O54+Source!X54+Source!Y54,0)</f>
        <v>-6449.39</v>
      </c>
      <c r="T87">
        <f>IF(Source!BI54=2,Source!O54+Source!X54+Source!Y54,0)</f>
        <v>0</v>
      </c>
      <c r="U87">
        <f>IF(Source!BI54=3,Source!O54+Source!X54+Source!Y54,0)</f>
        <v>0</v>
      </c>
      <c r="V87">
        <f>IF(Source!BI54=4,Source!O54+Source!X54+Source!Y54,0)</f>
        <v>0</v>
      </c>
      <c r="W87">
        <f>IF(Source!BS54&lt;&gt;0,Source!R54/Source!BS54,Source!R54)</f>
        <v>0</v>
      </c>
    </row>
    <row r="88" spans="1:23" ht="45">
      <c r="A88" s="32"/>
      <c r="B88" s="32" t="str">
        <f>Source!F55</f>
        <v>Цена поставщика</v>
      </c>
      <c r="C88" s="33" t="str">
        <f>CONCATENATE(Source!G55,"  ",Source!CN55)</f>
        <v>Бетон тяжелый, крупность заполнителя 20 мм, класс В 25 (М300)  </v>
      </c>
      <c r="D88" s="34" t="str">
        <f>Source!H55</f>
        <v>м3</v>
      </c>
      <c r="E88" s="35">
        <f>ROUND(Source!I55,6)</f>
        <v>2.1315</v>
      </c>
      <c r="F88" s="35">
        <f>IF(Source!AL55=0,Source!AK55,Source!AL55)</f>
        <v>3855.93</v>
      </c>
      <c r="G88" s="36">
        <f>Source!DD55</f>
      </c>
      <c r="H88" s="37">
        <f>IF(Source!BC55&lt;&gt;0,Source!O55/Source!BC55,Source!O55)</f>
        <v>8218.91</v>
      </c>
      <c r="I88" s="35"/>
      <c r="J88" s="35">
        <f>Source!BC55</f>
        <v>1</v>
      </c>
      <c r="K88" s="37">
        <f>Source!O55</f>
        <v>8218.91</v>
      </c>
      <c r="L88" s="35"/>
      <c r="N88">
        <f>IF(Source!BA55&lt;&gt;0,Source!S55/Source!BA55,Source!S55)</f>
        <v>0</v>
      </c>
      <c r="O88">
        <f>IF(Source!BI55=1,(IF(Source!BC55&lt;&gt;0,Source!O55/Source!BC55,Source!O55)),0)</f>
        <v>8218.91</v>
      </c>
      <c r="P88">
        <f>IF(Source!BI55=2,(IF(Source!BC55&lt;&gt;0,Source!O55/Source!BC55,Source!O55)),0)</f>
        <v>0</v>
      </c>
      <c r="Q88">
        <f>IF(Source!BI55=3,(IF(Source!BC55&lt;&gt;0,Source!O55/Source!BC55,Source!O55)),0)</f>
        <v>0</v>
      </c>
      <c r="R88">
        <f>IF(Source!BI55=4,(IF(Source!BC55&lt;&gt;0,Source!O55/Source!BC55,Source!O55)),0)</f>
        <v>0</v>
      </c>
      <c r="S88">
        <f>IF(Source!BI55=1,Source!O55+Source!X55+Source!Y55,0)</f>
        <v>8218.91</v>
      </c>
      <c r="T88">
        <f>IF(Source!BI55=2,Source!O55+Source!X55+Source!Y55,0)</f>
        <v>0</v>
      </c>
      <c r="U88">
        <f>IF(Source!BI55=3,Source!O55+Source!X55+Source!Y55,0)</f>
        <v>0</v>
      </c>
      <c r="V88">
        <f>IF(Source!BI55=4,Source!O55+Source!X55+Source!Y55,0)</f>
        <v>0</v>
      </c>
      <c r="W88">
        <f>IF(Source!BS55&lt;&gt;0,Source!R55/Source!BS55,Source!R55)</f>
        <v>0</v>
      </c>
    </row>
    <row r="89" spans="1:23" ht="15.75">
      <c r="A89" s="6"/>
      <c r="B89" s="6"/>
      <c r="C89" s="6"/>
      <c r="D89" s="6"/>
      <c r="E89" s="6"/>
      <c r="F89" s="6"/>
      <c r="G89" s="6"/>
      <c r="H89" s="29">
        <f>IF(Source!BA53&lt;&gt;0,Source!S53/Source!BA53,Source!S53)+IF(Source!BB53&lt;&gt;0,Source!Q53/Source!BB53,Source!Q53)+H83+H84+H85+H87+H88</f>
        <v>8759.375536447553</v>
      </c>
      <c r="I89" s="30"/>
      <c r="J89" s="30"/>
      <c r="K89" s="29">
        <f>Source!S53+Source!Q53+K83+K84+K85+K87+K88</f>
        <v>13537.009999999998</v>
      </c>
      <c r="L89" s="30">
        <f>Source!U53</f>
        <v>19.97268</v>
      </c>
      <c r="M89" s="24">
        <f>H89</f>
        <v>8759.375536447553</v>
      </c>
      <c r="N89">
        <f>IF(Source!BA53&lt;&gt;0,Source!S53/Source!BA53,Source!S53)</f>
        <v>172.56356736242884</v>
      </c>
      <c r="O89">
        <f>IF(Source!BI53=1,(IF(Source!BA53&lt;&gt;0,Source!S53/Source!BA53,Source!S53)+IF(Source!BB53&lt;&gt;0,Source!Q53/Source!BB53,Source!Q53)+IF(Source!BC53&lt;&gt;0,Source!P53/Source!BC53,Source!P53)+((Source!BZ53/100)*((Source!S53/IF(Source!BA53&lt;&gt;0,Source!BA53,1))+(Source!R53/IF(Source!BS53&lt;&gt;0,Source!BS53,1))))+((Source!CA53/100)*((Source!S53/IF(Source!BA53&lt;&gt;0,Source!BA53,1))+(Source!R53/IF(Source!BS53&lt;&gt;0,Source!BS53,1))))),0)</f>
        <v>1957.9138880959044</v>
      </c>
      <c r="P89">
        <f>IF(Source!BI53=2,(IF(Source!BA53&lt;&gt;0,Source!S53/Source!BA53,Source!S53)+IF(Source!BB53&lt;&gt;0,Source!Q53/Source!BB53,Source!Q53)+IF(Source!BC53&lt;&gt;0,Source!P53/Source!BC53,Source!P53)+((Source!BZ53/100)*((Source!S53/IF(Source!BA53&lt;&gt;0,Source!BA53,1))+(Source!R53/IF(Source!BS53&lt;&gt;0,Source!BS53,1))))+((Source!CA53/100)*((Source!S53/IF(Source!BA53&lt;&gt;0,Source!BA53,1))+(Source!R53/IF(Source!BS53&lt;&gt;0,Source!BS53,1))))),0)</f>
        <v>0</v>
      </c>
      <c r="Q89">
        <f>IF(Source!BI53=3,(IF(Source!BA53&lt;&gt;0,Source!S53/Source!BA53,Source!S53)+IF(Source!BB53&lt;&gt;0,Source!Q53/Source!BB53,Source!Q53)+IF(Source!BC53&lt;&gt;0,Source!P53/Source!BC53,Source!P53)+((Source!BZ53/100)*((Source!S53/IF(Source!BA53&lt;&gt;0,Source!BA53,1))+(Source!R53/IF(Source!BS53&lt;&gt;0,Source!BS53,1))))+((Source!CA53/100)*((Source!S53/IF(Source!BA53&lt;&gt;0,Source!BA53,1))+(Source!R53/IF(Source!BS53&lt;&gt;0,Source!BS53,1))))),0)</f>
        <v>0</v>
      </c>
      <c r="R89">
        <f>IF(Source!BI53=4,(IF(Source!BA53&lt;&gt;0,Source!S53/Source!BA53,Source!S53)+IF(Source!BB53&lt;&gt;0,Source!Q53/Source!BB53,Source!Q53)+IF(Source!BC53&lt;&gt;0,Source!P53/Source!BC53,Source!P53)+((Source!BZ53/100)*((Source!S53/IF(Source!BA53&lt;&gt;0,Source!BA53,1))+(Source!R53/IF(Source!BS53&lt;&gt;0,Source!BS53,1))))+((Source!CA53/100)*((Source!S53/IF(Source!BA53&lt;&gt;0,Source!BA53,1))+(Source!R53/IF(Source!BS53&lt;&gt;0,Source!BS53,1))))),0)</f>
        <v>0</v>
      </c>
      <c r="S89">
        <f>IF(Source!BI53=1,Source!O53+Source!X53+Source!Y53,0)</f>
        <v>11767.49</v>
      </c>
      <c r="T89">
        <f>IF(Source!BI53=2,Source!O53+Source!X53+Source!Y53,0)</f>
        <v>0</v>
      </c>
      <c r="U89">
        <f>IF(Source!BI53=3,Source!O53+Source!X53+Source!Y53,0)</f>
        <v>0</v>
      </c>
      <c r="V89">
        <f>IF(Source!BI53=4,Source!O53+Source!X53+Source!Y53,0)</f>
        <v>0</v>
      </c>
      <c r="W89">
        <f>IF(Source!BS53&lt;&gt;0,Source!R53/Source!BS53,Source!R53)</f>
        <v>8.420303605313094</v>
      </c>
    </row>
    <row r="91" spans="3:23" s="30" customFormat="1" ht="15.75">
      <c r="C91" s="30" t="s">
        <v>412</v>
      </c>
      <c r="G91" s="48">
        <f>SUM(M61:M90)</f>
        <v>145776.9587525696</v>
      </c>
      <c r="H91" s="48"/>
      <c r="J91" s="48">
        <f>ROUND(Source!AB49+Source!AK49+Source!AL49+Source!AE49*0/100,2)</f>
        <v>734725.57</v>
      </c>
      <c r="K91" s="48"/>
      <c r="L91" s="30">
        <f>Source!AH49</f>
        <v>808.18</v>
      </c>
      <c r="N91" s="29">
        <f aca="true" t="shared" si="1" ref="N91:W91">SUM(N61:N90)</f>
        <v>6978.642314990513</v>
      </c>
      <c r="O91" s="29">
        <f t="shared" si="1"/>
        <v>145776.9587525696</v>
      </c>
      <c r="P91" s="29">
        <f t="shared" si="1"/>
        <v>0</v>
      </c>
      <c r="Q91" s="29">
        <f t="shared" si="1"/>
        <v>0</v>
      </c>
      <c r="R91" s="29">
        <f t="shared" si="1"/>
        <v>0</v>
      </c>
      <c r="S91" s="29">
        <f t="shared" si="1"/>
        <v>734725.5700000001</v>
      </c>
      <c r="T91" s="29">
        <f t="shared" si="1"/>
        <v>0</v>
      </c>
      <c r="U91" s="29">
        <f t="shared" si="1"/>
        <v>0</v>
      </c>
      <c r="V91" s="29">
        <f t="shared" si="1"/>
        <v>0</v>
      </c>
      <c r="W91" s="30">
        <f t="shared" si="1"/>
        <v>503.7732447817838</v>
      </c>
    </row>
    <row r="94" spans="3:23" s="38" customFormat="1" ht="18" hidden="1">
      <c r="C94" s="38" t="s">
        <v>413</v>
      </c>
      <c r="G94" s="49">
        <f>G57+G91</f>
        <v>817702.7088214317</v>
      </c>
      <c r="H94" s="49"/>
      <c r="J94" s="49">
        <f>ROUND(Source!O71+Source!X71+Source!Y71+Source!R71*0/100,2)</f>
        <v>3759542.38</v>
      </c>
      <c r="K94" s="49"/>
      <c r="L94" s="38">
        <f>Source!U71</f>
        <v>4603.19</v>
      </c>
      <c r="N94" s="39">
        <f aca="true" t="shared" si="2" ref="N94:W94">N57+N91</f>
        <v>39674.81309297913</v>
      </c>
      <c r="O94" s="39">
        <f t="shared" si="2"/>
        <v>817702.7088214317</v>
      </c>
      <c r="P94" s="39">
        <f t="shared" si="2"/>
        <v>0</v>
      </c>
      <c r="Q94" s="39">
        <f t="shared" si="2"/>
        <v>0</v>
      </c>
      <c r="R94" s="39">
        <f t="shared" si="2"/>
        <v>0</v>
      </c>
      <c r="S94" s="39">
        <f t="shared" si="2"/>
        <v>3759542.38</v>
      </c>
      <c r="T94" s="39">
        <f t="shared" si="2"/>
        <v>0</v>
      </c>
      <c r="U94" s="39">
        <f t="shared" si="2"/>
        <v>0</v>
      </c>
      <c r="V94" s="39">
        <f t="shared" si="2"/>
        <v>0</v>
      </c>
      <c r="W94" s="38">
        <f t="shared" si="2"/>
        <v>2773.0028462998107</v>
      </c>
    </row>
    <row r="96" spans="3:11" ht="18">
      <c r="C96" s="38" t="s">
        <v>414</v>
      </c>
      <c r="D96" s="46" t="str">
        <f>Source!G71</f>
        <v>Новая локальная смета</v>
      </c>
      <c r="E96" s="46"/>
      <c r="F96" s="46"/>
      <c r="G96" s="46"/>
      <c r="H96" s="46"/>
      <c r="I96" s="46"/>
      <c r="J96" s="46"/>
      <c r="K96" s="46"/>
    </row>
    <row r="97" spans="3:12" ht="18">
      <c r="C97" s="42" t="str">
        <f>Source!H84</f>
        <v>ПРЯМЫЕ ЗАТРАТЫ</v>
      </c>
      <c r="D97" s="42"/>
      <c r="E97" s="42"/>
      <c r="F97" s="42"/>
      <c r="G97" s="42"/>
      <c r="H97" s="42"/>
      <c r="I97" s="42"/>
      <c r="J97" s="43">
        <f>Source!F84</f>
        <v>2872804.79</v>
      </c>
      <c r="K97" s="44"/>
      <c r="L97" s="40"/>
    </row>
    <row r="98" spans="3:12" ht="18">
      <c r="C98" s="42" t="str">
        <f>Source!H85</f>
        <v>НАКЛАДНЫЕ  РАСХОДЫ</v>
      </c>
      <c r="D98" s="42"/>
      <c r="E98" s="42"/>
      <c r="F98" s="42"/>
      <c r="G98" s="42"/>
      <c r="H98" s="42"/>
      <c r="I98" s="42"/>
      <c r="J98" s="43">
        <f>Source!F85</f>
        <v>522702.22</v>
      </c>
      <c r="K98" s="44"/>
      <c r="L98" s="40"/>
    </row>
    <row r="99" spans="3:12" ht="18">
      <c r="C99" s="42" t="str">
        <f>Source!H86</f>
        <v>СМЕТНАЯ ПРИБЫЛЬ</v>
      </c>
      <c r="D99" s="42"/>
      <c r="E99" s="42"/>
      <c r="F99" s="42"/>
      <c r="G99" s="42"/>
      <c r="H99" s="42"/>
      <c r="I99" s="42"/>
      <c r="J99" s="43">
        <f>Source!F86</f>
        <v>364035.37</v>
      </c>
      <c r="K99" s="44"/>
      <c r="L99" s="40"/>
    </row>
    <row r="100" spans="3:12" ht="18">
      <c r="C100" s="42" t="str">
        <f>Source!H87</f>
        <v>ИТОГО</v>
      </c>
      <c r="D100" s="42"/>
      <c r="E100" s="42"/>
      <c r="F100" s="42"/>
      <c r="G100" s="42"/>
      <c r="H100" s="42"/>
      <c r="I100" s="42"/>
      <c r="J100" s="43">
        <f>Source!F87</f>
        <v>3759542.38</v>
      </c>
      <c r="K100" s="44"/>
      <c r="L100" s="40"/>
    </row>
    <row r="101" spans="3:12" ht="18">
      <c r="C101" s="42" t="str">
        <f>Source!H89</f>
        <v>Фонд оплаты труда</v>
      </c>
      <c r="D101" s="42"/>
      <c r="E101" s="42"/>
      <c r="F101" s="42"/>
      <c r="G101" s="42"/>
      <c r="H101" s="42"/>
      <c r="I101" s="42"/>
      <c r="J101" s="43">
        <f>Source!F89</f>
        <v>447399.98</v>
      </c>
      <c r="K101" s="44"/>
      <c r="L101" s="40"/>
    </row>
    <row r="102" spans="3:12" ht="18">
      <c r="C102" s="42" t="str">
        <f>Source!H90</f>
        <v>ЗИМНЕЕ УДОРОЖАНИЕ %</v>
      </c>
      <c r="D102" s="42"/>
      <c r="E102" s="42"/>
      <c r="F102" s="42"/>
      <c r="G102" s="42"/>
      <c r="H102" s="42"/>
      <c r="I102" s="42"/>
      <c r="J102" s="43">
        <f>Source!F90</f>
        <v>1.2</v>
      </c>
      <c r="K102" s="44"/>
      <c r="L102" s="40"/>
    </row>
    <row r="103" spans="3:12" ht="18">
      <c r="C103" s="42" t="str">
        <f>Source!H91</f>
        <v>С ЗИМНИМ УДОРОЖАНИЕМ</v>
      </c>
      <c r="D103" s="42"/>
      <c r="E103" s="42"/>
      <c r="F103" s="42"/>
      <c r="G103" s="42"/>
      <c r="H103" s="42"/>
      <c r="I103" s="42"/>
      <c r="J103" s="43">
        <f>Source!F91</f>
        <v>3804656.89</v>
      </c>
      <c r="K103" s="44"/>
      <c r="L103" s="40"/>
    </row>
    <row r="104" spans="3:12" ht="18">
      <c r="C104" s="42" t="str">
        <f>Source!H94</f>
        <v>НДС 18%</v>
      </c>
      <c r="D104" s="42"/>
      <c r="E104" s="42"/>
      <c r="F104" s="42"/>
      <c r="G104" s="42"/>
      <c r="H104" s="42"/>
      <c r="I104" s="42"/>
      <c r="J104" s="43">
        <f>Source!F94</f>
        <v>684838.24</v>
      </c>
      <c r="K104" s="44"/>
      <c r="L104" s="40"/>
    </row>
    <row r="105" spans="3:12" ht="18">
      <c r="C105" s="42" t="str">
        <f>Source!H95</f>
        <v>ВСЕГО</v>
      </c>
      <c r="D105" s="42"/>
      <c r="E105" s="42"/>
      <c r="F105" s="42"/>
      <c r="G105" s="42"/>
      <c r="H105" s="42"/>
      <c r="I105" s="42"/>
      <c r="J105" s="43">
        <f>Source!F95</f>
        <v>4489495.13</v>
      </c>
      <c r="K105" s="44"/>
      <c r="L105" s="40"/>
    </row>
    <row r="109" spans="1:8" s="4" customFormat="1" ht="12.75">
      <c r="A109" s="4" t="s">
        <v>415</v>
      </c>
      <c r="C109" s="41" t="str">
        <f>IF(Source!AO12&lt;&gt;"",Source!AO12," ")</f>
        <v> </v>
      </c>
      <c r="D109" s="41"/>
      <c r="E109" s="41"/>
      <c r="F109" s="41"/>
      <c r="G109" s="41"/>
      <c r="H109" s="4" t="str">
        <f>IF(Source!R12&lt;&gt;"",Source!R12," ")</f>
        <v> </v>
      </c>
    </row>
    <row r="110" spans="3:7" s="5" customFormat="1" ht="11.25">
      <c r="C110" s="45" t="s">
        <v>416</v>
      </c>
      <c r="D110" s="45"/>
      <c r="E110" s="45"/>
      <c r="F110" s="45"/>
      <c r="G110" s="45"/>
    </row>
    <row r="112" spans="1:8" s="4" customFormat="1" ht="12.75">
      <c r="A112" s="4" t="s">
        <v>417</v>
      </c>
      <c r="C112" s="41" t="str">
        <f>IF(Source!AP12&lt;&gt;"",Source!AP12," ")</f>
        <v> </v>
      </c>
      <c r="D112" s="41"/>
      <c r="E112" s="41"/>
      <c r="F112" s="41"/>
      <c r="G112" s="41"/>
      <c r="H112" s="4" t="str">
        <f>IF(Source!S12&lt;&gt;"",Source!S12," ")</f>
        <v> </v>
      </c>
    </row>
    <row r="113" spans="3:7" s="5" customFormat="1" ht="11.25">
      <c r="C113" s="45" t="s">
        <v>416</v>
      </c>
      <c r="D113" s="45"/>
      <c r="E113" s="45"/>
      <c r="F113" s="45"/>
      <c r="G113" s="45"/>
    </row>
  </sheetData>
  <mergeCells count="64">
    <mergeCell ref="B4:L4"/>
    <mergeCell ref="B5:L5"/>
    <mergeCell ref="A3:L3"/>
    <mergeCell ref="A7:L7"/>
    <mergeCell ref="G10:H10"/>
    <mergeCell ref="I10:J10"/>
    <mergeCell ref="C11:F11"/>
    <mergeCell ref="G11:H11"/>
    <mergeCell ref="I11:J11"/>
    <mergeCell ref="K11:L11"/>
    <mergeCell ref="C12:F12"/>
    <mergeCell ref="G12:H12"/>
    <mergeCell ref="I12:J12"/>
    <mergeCell ref="K12:L12"/>
    <mergeCell ref="C13:F13"/>
    <mergeCell ref="G13:H13"/>
    <mergeCell ref="I13:J13"/>
    <mergeCell ref="K13:L13"/>
    <mergeCell ref="C14:F14"/>
    <mergeCell ref="G14:H14"/>
    <mergeCell ref="I14:J14"/>
    <mergeCell ref="K14:L14"/>
    <mergeCell ref="C15:F15"/>
    <mergeCell ref="G15:H15"/>
    <mergeCell ref="I15:J15"/>
    <mergeCell ref="K15:L15"/>
    <mergeCell ref="C16:F16"/>
    <mergeCell ref="G16:H16"/>
    <mergeCell ref="I16:J16"/>
    <mergeCell ref="K16:L16"/>
    <mergeCell ref="C17:F17"/>
    <mergeCell ref="G17:H17"/>
    <mergeCell ref="I17:J17"/>
    <mergeCell ref="K17:L17"/>
    <mergeCell ref="A19:C19"/>
    <mergeCell ref="D26:K26"/>
    <mergeCell ref="J57:K57"/>
    <mergeCell ref="G57:H57"/>
    <mergeCell ref="D59:K59"/>
    <mergeCell ref="J91:K91"/>
    <mergeCell ref="G91:H91"/>
    <mergeCell ref="J94:K94"/>
    <mergeCell ref="G94:H94"/>
    <mergeCell ref="D96:K96"/>
    <mergeCell ref="C97:I97"/>
    <mergeCell ref="J97:K97"/>
    <mergeCell ref="C98:I98"/>
    <mergeCell ref="J98:K98"/>
    <mergeCell ref="C99:I99"/>
    <mergeCell ref="J99:K99"/>
    <mergeCell ref="C100:I100"/>
    <mergeCell ref="J100:K100"/>
    <mergeCell ref="C101:I101"/>
    <mergeCell ref="J101:K101"/>
    <mergeCell ref="C102:I102"/>
    <mergeCell ref="J102:K102"/>
    <mergeCell ref="C103:I103"/>
    <mergeCell ref="J103:K103"/>
    <mergeCell ref="C104:I104"/>
    <mergeCell ref="J104:K104"/>
    <mergeCell ref="C105:I105"/>
    <mergeCell ref="J105:K105"/>
    <mergeCell ref="C110:G110"/>
    <mergeCell ref="C113:G113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5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58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21359</v>
      </c>
    </row>
    <row r="12" spans="1:103" ht="12.75">
      <c r="A12" s="1">
        <v>1</v>
      </c>
      <c r="B12" s="1">
        <v>1</v>
      </c>
      <c r="C12" s="1">
        <v>0</v>
      </c>
      <c r="D12" s="1">
        <f>ROW(A97)</f>
        <v>97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2007</v>
      </c>
      <c r="Q12" s="1">
        <v>12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8797571</v>
      </c>
      <c r="BE12" s="1" t="s">
        <v>7</v>
      </c>
      <c r="BF12" s="1" t="s">
        <v>8</v>
      </c>
      <c r="BG12" s="1">
        <v>5677303</v>
      </c>
      <c r="BH12" s="1">
        <v>0</v>
      </c>
      <c r="BI12" s="1">
        <v>0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5439773</v>
      </c>
      <c r="CB12" s="1">
        <v>5439769</v>
      </c>
      <c r="CC12" s="1">
        <v>5439767</v>
      </c>
      <c r="CD12" s="1">
        <v>5439765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5677416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3381686</v>
      </c>
      <c r="CT12" s="1">
        <v>0</v>
      </c>
      <c r="CU12" s="1">
        <v>0</v>
      </c>
      <c r="CV12" s="1">
        <v>5633627</v>
      </c>
      <c r="CW12" s="1">
        <v>7252965</v>
      </c>
      <c r="CX12" s="1">
        <v>8946656</v>
      </c>
      <c r="CY12" s="1">
        <v>1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B97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Перегородки техподполья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2872804.79</v>
      </c>
      <c r="P18" s="2">
        <f t="shared" si="0"/>
        <v>2352988.44</v>
      </c>
      <c r="Q18" s="2">
        <f t="shared" si="0"/>
        <v>101643.82</v>
      </c>
      <c r="R18" s="2">
        <f t="shared" si="0"/>
        <v>29227.45</v>
      </c>
      <c r="S18" s="2">
        <f t="shared" si="0"/>
        <v>418172.53</v>
      </c>
      <c r="T18" s="2">
        <f t="shared" si="0"/>
        <v>0</v>
      </c>
      <c r="U18" s="2">
        <f t="shared" si="0"/>
        <v>4603.19</v>
      </c>
      <c r="V18" s="2">
        <f t="shared" si="0"/>
        <v>216.25</v>
      </c>
      <c r="W18" s="2">
        <f t="shared" si="0"/>
        <v>0</v>
      </c>
      <c r="X18" s="2">
        <f t="shared" si="0"/>
        <v>522702.22</v>
      </c>
      <c r="Y18" s="2">
        <f t="shared" si="0"/>
        <v>364035.37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ROW(A71)</f>
        <v>71</v>
      </c>
      <c r="E20" s="1"/>
      <c r="F20" s="1" t="s">
        <v>13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B71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2872804.79</v>
      </c>
      <c r="P22" s="2">
        <f t="shared" si="1"/>
        <v>2352988.44</v>
      </c>
      <c r="Q22" s="2">
        <f t="shared" si="1"/>
        <v>101643.82</v>
      </c>
      <c r="R22" s="2">
        <f t="shared" si="1"/>
        <v>29227.45</v>
      </c>
      <c r="S22" s="2">
        <f t="shared" si="1"/>
        <v>418172.53</v>
      </c>
      <c r="T22" s="2">
        <f t="shared" si="1"/>
        <v>0</v>
      </c>
      <c r="U22" s="2">
        <f t="shared" si="1"/>
        <v>4603.19</v>
      </c>
      <c r="V22" s="2">
        <f t="shared" si="1"/>
        <v>216.25</v>
      </c>
      <c r="W22" s="2">
        <f t="shared" si="1"/>
        <v>0</v>
      </c>
      <c r="X22" s="2">
        <f t="shared" si="1"/>
        <v>522702.22</v>
      </c>
      <c r="Y22" s="2">
        <f t="shared" si="1"/>
        <v>364035.37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1</v>
      </c>
      <c r="C24" s="1"/>
      <c r="D24" s="1">
        <f>ROW(A33)</f>
        <v>33</v>
      </c>
      <c r="E24" s="1"/>
      <c r="F24" s="1" t="s">
        <v>15</v>
      </c>
      <c r="G24" s="1" t="s">
        <v>16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17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B33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Внутренние перегородки техподполья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2307352.25</v>
      </c>
      <c r="P26" s="2">
        <f t="shared" si="2"/>
        <v>1879840.92</v>
      </c>
      <c r="Q26" s="2">
        <f t="shared" si="2"/>
        <v>82893.69</v>
      </c>
      <c r="R26" s="2">
        <f t="shared" si="2"/>
        <v>23917.68</v>
      </c>
      <c r="S26" s="2">
        <f t="shared" si="2"/>
        <v>344617.64</v>
      </c>
      <c r="T26" s="2">
        <f t="shared" si="2"/>
        <v>0</v>
      </c>
      <c r="U26" s="2">
        <f t="shared" si="2"/>
        <v>3795.01</v>
      </c>
      <c r="V26" s="2">
        <f t="shared" si="2"/>
        <v>176.42</v>
      </c>
      <c r="W26" s="2">
        <f t="shared" si="2"/>
        <v>0</v>
      </c>
      <c r="X26" s="2">
        <f t="shared" si="2"/>
        <v>422636.3</v>
      </c>
      <c r="Y26" s="2">
        <f t="shared" si="2"/>
        <v>294828.26</v>
      </c>
      <c r="Z26" s="2">
        <f t="shared" si="2"/>
        <v>0</v>
      </c>
      <c r="AA26" s="2">
        <f t="shared" si="2"/>
        <v>0</v>
      </c>
      <c r="AB26" s="2">
        <f t="shared" si="2"/>
        <v>2307352.25</v>
      </c>
      <c r="AC26" s="2">
        <f t="shared" si="2"/>
        <v>1879840.92</v>
      </c>
      <c r="AD26" s="2">
        <f t="shared" si="2"/>
        <v>82893.69</v>
      </c>
      <c r="AE26" s="2">
        <f t="shared" si="2"/>
        <v>23917.68</v>
      </c>
      <c r="AF26" s="2">
        <f t="shared" si="2"/>
        <v>344617.64</v>
      </c>
      <c r="AG26" s="2">
        <f t="shared" si="2"/>
        <v>0</v>
      </c>
      <c r="AH26" s="2">
        <f t="shared" si="2"/>
        <v>3795.01</v>
      </c>
      <c r="AI26" s="2">
        <f t="shared" si="2"/>
        <v>176.42</v>
      </c>
      <c r="AJ26" s="2">
        <f t="shared" si="2"/>
        <v>0</v>
      </c>
      <c r="AK26" s="2">
        <f t="shared" si="2"/>
        <v>422636.3</v>
      </c>
      <c r="AL26" s="2">
        <f t="shared" si="2"/>
        <v>294828.26</v>
      </c>
      <c r="AM26" s="2">
        <f t="shared" si="2"/>
        <v>0</v>
      </c>
    </row>
    <row r="28" spans="1:154" ht="12.75">
      <c r="A28">
        <v>17</v>
      </c>
      <c r="B28">
        <v>1</v>
      </c>
      <c r="C28">
        <f>ROW(SmtRes!A10)</f>
        <v>10</v>
      </c>
      <c r="D28">
        <f>ROW(EtalonRes!A10)</f>
        <v>10</v>
      </c>
      <c r="E28" t="s">
        <v>18</v>
      </c>
      <c r="F28" t="s">
        <v>19</v>
      </c>
      <c r="G28" t="s">
        <v>20</v>
      </c>
      <c r="H28" t="s">
        <v>21</v>
      </c>
      <c r="I28">
        <v>8.974</v>
      </c>
      <c r="J28">
        <v>0</v>
      </c>
      <c r="O28">
        <f>ROUND(CP28,2)</f>
        <v>509059.93</v>
      </c>
      <c r="P28">
        <f>ROUND(CQ28*I28,2)</f>
        <v>353893.06</v>
      </c>
      <c r="Q28">
        <f>ROUND(CR28*I28,2)</f>
        <v>17870.62</v>
      </c>
      <c r="R28">
        <f>ROUND(CS28*I28,2)</f>
        <v>5248.57</v>
      </c>
      <c r="S28">
        <f>ROUND(CT28*I28,2)</f>
        <v>137296.25</v>
      </c>
      <c r="T28">
        <f>ROUND(CU28*I28,2)</f>
        <v>0</v>
      </c>
      <c r="U28">
        <f>CV28*I28</f>
        <v>1527.10558</v>
      </c>
      <c r="V28">
        <f>CW28*I28</f>
        <v>37.87028</v>
      </c>
      <c r="W28">
        <f>ROUND(CX28*I28,2)</f>
        <v>0</v>
      </c>
      <c r="X28">
        <f aca="true" t="shared" si="3" ref="X28:Y31">ROUND(CY28,2)</f>
        <v>163470.4</v>
      </c>
      <c r="Y28">
        <f t="shared" si="3"/>
        <v>114035.86</v>
      </c>
      <c r="AA28">
        <v>0</v>
      </c>
      <c r="AB28">
        <f>(AC28+AD28+AF28)</f>
        <v>12331.039999999999</v>
      </c>
      <c r="AC28">
        <f aca="true" t="shared" si="4" ref="AC28:AF30">(ES28)</f>
        <v>10516.1</v>
      </c>
      <c r="AD28">
        <f t="shared" si="4"/>
        <v>363.39</v>
      </c>
      <c r="AE28">
        <f t="shared" si="4"/>
        <v>55.49</v>
      </c>
      <c r="AF28">
        <f t="shared" si="4"/>
        <v>1451.55</v>
      </c>
      <c r="AG28">
        <f>(AP28)</f>
        <v>0</v>
      </c>
      <c r="AH28">
        <f aca="true" t="shared" si="5" ref="AH28:AI30">(EW28)</f>
        <v>170.17</v>
      </c>
      <c r="AI28">
        <f t="shared" si="5"/>
        <v>4.22</v>
      </c>
      <c r="AJ28">
        <f>(AS28)</f>
        <v>0</v>
      </c>
      <c r="AK28">
        <v>12331.04</v>
      </c>
      <c r="AL28">
        <v>10516.1</v>
      </c>
      <c r="AM28">
        <v>363.39</v>
      </c>
      <c r="AN28">
        <v>55.49</v>
      </c>
      <c r="AO28">
        <v>1451.55</v>
      </c>
      <c r="AP28">
        <v>0</v>
      </c>
      <c r="AQ28">
        <v>170.17</v>
      </c>
      <c r="AR28">
        <v>4.22</v>
      </c>
      <c r="AS28">
        <v>0</v>
      </c>
      <c r="AT28">
        <f aca="true" t="shared" si="6" ref="AT28:AU31">BZ28</f>
        <v>114.68</v>
      </c>
      <c r="AU28">
        <f t="shared" si="6"/>
        <v>80</v>
      </c>
      <c r="AV28">
        <v>1</v>
      </c>
      <c r="AW28">
        <v>1</v>
      </c>
      <c r="AX28">
        <v>1</v>
      </c>
      <c r="AY28">
        <v>1</v>
      </c>
      <c r="AZ28">
        <v>5.7</v>
      </c>
      <c r="BA28">
        <v>10.54</v>
      </c>
      <c r="BB28">
        <v>5.48</v>
      </c>
      <c r="BC28">
        <v>3.75</v>
      </c>
      <c r="BH28">
        <v>0</v>
      </c>
      <c r="BI28">
        <v>1</v>
      </c>
      <c r="BJ28" t="s">
        <v>22</v>
      </c>
      <c r="BM28">
        <v>14</v>
      </c>
      <c r="BN28">
        <v>0</v>
      </c>
      <c r="BO28" t="s">
        <v>19</v>
      </c>
      <c r="BP28">
        <v>1</v>
      </c>
      <c r="BQ28">
        <v>2</v>
      </c>
      <c r="BR28">
        <v>0</v>
      </c>
      <c r="BS28">
        <v>10.54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114.68</v>
      </c>
      <c r="CA28">
        <v>80</v>
      </c>
      <c r="CF28">
        <v>0</v>
      </c>
      <c r="CG28">
        <v>0</v>
      </c>
      <c r="CM28">
        <v>0</v>
      </c>
      <c r="CO28">
        <v>0</v>
      </c>
      <c r="CP28">
        <f>(P28+Q28+S28)</f>
        <v>509059.93</v>
      </c>
      <c r="CQ28">
        <f>(AC28)*BC28</f>
        <v>39435.375</v>
      </c>
      <c r="CR28">
        <f>(AD28)*BB28</f>
        <v>1991.3772000000001</v>
      </c>
      <c r="CS28">
        <f>(AE28)*BS28</f>
        <v>584.8646</v>
      </c>
      <c r="CT28">
        <f>(AF28)*BA28</f>
        <v>15299.336999999998</v>
      </c>
      <c r="CU28">
        <f aca="true" t="shared" si="7" ref="CU28:CX31">(AG28)*BT28</f>
        <v>0</v>
      </c>
      <c r="CV28">
        <f t="shared" si="7"/>
        <v>170.17</v>
      </c>
      <c r="CW28">
        <f t="shared" si="7"/>
        <v>4.22</v>
      </c>
      <c r="CX28">
        <f t="shared" si="7"/>
        <v>0</v>
      </c>
      <c r="CY28">
        <f>(((S28+R28)*BZ28)/100)</f>
        <v>163470.39957600003</v>
      </c>
      <c r="CZ28">
        <f>(((S28+R28)*CA28)/100)</f>
        <v>114035.85600000001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21</v>
      </c>
      <c r="DW28" t="s">
        <v>23</v>
      </c>
      <c r="DX28">
        <v>100</v>
      </c>
      <c r="EE28">
        <v>5677327</v>
      </c>
      <c r="EF28">
        <v>2</v>
      </c>
      <c r="EG28" t="s">
        <v>24</v>
      </c>
      <c r="EH28">
        <v>0</v>
      </c>
      <c r="EJ28">
        <v>1</v>
      </c>
      <c r="EK28">
        <v>14</v>
      </c>
      <c r="EL28" t="s">
        <v>25</v>
      </c>
      <c r="EM28" t="s">
        <v>26</v>
      </c>
      <c r="EP28" t="s">
        <v>27</v>
      </c>
      <c r="EQ28">
        <v>0</v>
      </c>
      <c r="ER28">
        <v>12331.04</v>
      </c>
      <c r="ES28">
        <v>10516.1</v>
      </c>
      <c r="ET28">
        <v>363.39</v>
      </c>
      <c r="EU28">
        <v>55.49</v>
      </c>
      <c r="EV28">
        <v>1451.55</v>
      </c>
      <c r="EW28">
        <v>170.17</v>
      </c>
      <c r="EX28">
        <v>4.22</v>
      </c>
    </row>
    <row r="29" spans="1:154" ht="12.75">
      <c r="A29">
        <v>17</v>
      </c>
      <c r="B29">
        <v>1</v>
      </c>
      <c r="C29">
        <f>ROW(SmtRes!A17)</f>
        <v>17</v>
      </c>
      <c r="D29">
        <f>ROW(EtalonRes!A17)</f>
        <v>17</v>
      </c>
      <c r="E29" t="s">
        <v>28</v>
      </c>
      <c r="F29" t="s">
        <v>29</v>
      </c>
      <c r="G29" t="s">
        <v>30</v>
      </c>
      <c r="H29" t="s">
        <v>31</v>
      </c>
      <c r="I29">
        <v>291.82</v>
      </c>
      <c r="J29">
        <v>0</v>
      </c>
      <c r="O29">
        <f>ROUND(CP29,2)</f>
        <v>1090501.96</v>
      </c>
      <c r="P29">
        <f>ROUND(CQ29*I29,2)</f>
        <v>901952.27</v>
      </c>
      <c r="Q29">
        <f>ROUND(CR29*I29,2)</f>
        <v>55368.29</v>
      </c>
      <c r="R29">
        <f>ROUND(CS29*I29,2)</f>
        <v>16609.23</v>
      </c>
      <c r="S29">
        <f>ROUND(CT29*I29,2)</f>
        <v>133181.4</v>
      </c>
      <c r="T29">
        <f>ROUND(CU29*I29,2)</f>
        <v>0</v>
      </c>
      <c r="U29">
        <f>CV29*I29</f>
        <v>1520.3822</v>
      </c>
      <c r="V29">
        <f>CW29*I29</f>
        <v>116.72800000000001</v>
      </c>
      <c r="W29">
        <f>ROUND(CX29*I29,2)</f>
        <v>0</v>
      </c>
      <c r="X29">
        <f t="shared" si="3"/>
        <v>171779.89</v>
      </c>
      <c r="Y29">
        <f t="shared" si="3"/>
        <v>119832.5</v>
      </c>
      <c r="AA29">
        <v>0</v>
      </c>
      <c r="AB29">
        <f>(AC29+AD29+AF29)</f>
        <v>893.3699999999999</v>
      </c>
      <c r="AC29">
        <f t="shared" si="4"/>
        <v>815.51</v>
      </c>
      <c r="AD29">
        <f t="shared" si="4"/>
        <v>34.56</v>
      </c>
      <c r="AE29">
        <f t="shared" si="4"/>
        <v>5.4</v>
      </c>
      <c r="AF29">
        <f t="shared" si="4"/>
        <v>43.3</v>
      </c>
      <c r="AG29">
        <f>(AP29)</f>
        <v>0</v>
      </c>
      <c r="AH29">
        <f t="shared" si="5"/>
        <v>5.21</v>
      </c>
      <c r="AI29">
        <f t="shared" si="5"/>
        <v>0.4</v>
      </c>
      <c r="AJ29">
        <f>(AS29)</f>
        <v>0</v>
      </c>
      <c r="AK29">
        <v>893.37</v>
      </c>
      <c r="AL29">
        <v>815.51</v>
      </c>
      <c r="AM29">
        <v>34.56</v>
      </c>
      <c r="AN29">
        <v>5.4</v>
      </c>
      <c r="AO29">
        <v>43.3</v>
      </c>
      <c r="AP29">
        <v>0</v>
      </c>
      <c r="AQ29">
        <v>5.21</v>
      </c>
      <c r="AR29">
        <v>0.4</v>
      </c>
      <c r="AS29">
        <v>0</v>
      </c>
      <c r="AT29">
        <f t="shared" si="6"/>
        <v>114.68</v>
      </c>
      <c r="AU29">
        <f t="shared" si="6"/>
        <v>80</v>
      </c>
      <c r="AV29">
        <v>1</v>
      </c>
      <c r="AW29">
        <v>1</v>
      </c>
      <c r="AX29">
        <v>1</v>
      </c>
      <c r="AY29">
        <v>1</v>
      </c>
      <c r="AZ29">
        <v>4.78</v>
      </c>
      <c r="BA29">
        <v>10.54</v>
      </c>
      <c r="BB29">
        <v>5.49</v>
      </c>
      <c r="BC29">
        <v>3.79</v>
      </c>
      <c r="BH29">
        <v>0</v>
      </c>
      <c r="BI29">
        <v>1</v>
      </c>
      <c r="BJ29" t="s">
        <v>32</v>
      </c>
      <c r="BM29">
        <v>14</v>
      </c>
      <c r="BN29">
        <v>0</v>
      </c>
      <c r="BO29" t="s">
        <v>29</v>
      </c>
      <c r="BP29">
        <v>1</v>
      </c>
      <c r="BQ29">
        <v>2</v>
      </c>
      <c r="BR29">
        <v>0</v>
      </c>
      <c r="BS29">
        <v>10.54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114.68</v>
      </c>
      <c r="CA29">
        <v>80</v>
      </c>
      <c r="CF29">
        <v>0</v>
      </c>
      <c r="CG29">
        <v>0</v>
      </c>
      <c r="CM29">
        <v>0</v>
      </c>
      <c r="CO29">
        <v>0</v>
      </c>
      <c r="CP29">
        <f>(P29+Q29+S29)</f>
        <v>1090501.96</v>
      </c>
      <c r="CQ29">
        <f>(AC29)*BC29</f>
        <v>3090.7829</v>
      </c>
      <c r="CR29">
        <f>(AD29)*BB29</f>
        <v>189.73440000000002</v>
      </c>
      <c r="CS29">
        <f>(AE29)*BS29</f>
        <v>56.916</v>
      </c>
      <c r="CT29">
        <f>(AF29)*BA29</f>
        <v>456.38199999999995</v>
      </c>
      <c r="CU29">
        <f t="shared" si="7"/>
        <v>0</v>
      </c>
      <c r="CV29">
        <f t="shared" si="7"/>
        <v>5.21</v>
      </c>
      <c r="CW29">
        <f t="shared" si="7"/>
        <v>0.4</v>
      </c>
      <c r="CX29">
        <f t="shared" si="7"/>
        <v>0</v>
      </c>
      <c r="CY29">
        <f>(((S29+R29)*BZ29)/100)</f>
        <v>171779.89448400002</v>
      </c>
      <c r="CZ29">
        <f>(((S29+R29)*CA29)/100)</f>
        <v>119832.504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31</v>
      </c>
      <c r="DW29" t="s">
        <v>33</v>
      </c>
      <c r="DX29">
        <v>1</v>
      </c>
      <c r="EE29">
        <v>5677327</v>
      </c>
      <c r="EF29">
        <v>2</v>
      </c>
      <c r="EG29" t="s">
        <v>24</v>
      </c>
      <c r="EH29">
        <v>0</v>
      </c>
      <c r="EJ29">
        <v>1</v>
      </c>
      <c r="EK29">
        <v>14</v>
      </c>
      <c r="EL29" t="s">
        <v>25</v>
      </c>
      <c r="EM29" t="s">
        <v>26</v>
      </c>
      <c r="EP29" t="s">
        <v>355</v>
      </c>
      <c r="EQ29">
        <v>0</v>
      </c>
      <c r="ER29">
        <v>893.37</v>
      </c>
      <c r="ES29">
        <v>815.51</v>
      </c>
      <c r="ET29">
        <v>34.56</v>
      </c>
      <c r="EU29">
        <v>5.4</v>
      </c>
      <c r="EV29">
        <v>43.3</v>
      </c>
      <c r="EW29">
        <v>5.21</v>
      </c>
      <c r="EX29">
        <v>0.4</v>
      </c>
    </row>
    <row r="30" spans="1:154" ht="12.75">
      <c r="A30">
        <v>17</v>
      </c>
      <c r="B30">
        <v>1</v>
      </c>
      <c r="C30">
        <f>ROW(SmtRes!A26)</f>
        <v>26</v>
      </c>
      <c r="D30">
        <f>ROW(EtalonRes!A25)</f>
        <v>25</v>
      </c>
      <c r="E30" t="s">
        <v>34</v>
      </c>
      <c r="F30" t="s">
        <v>35</v>
      </c>
      <c r="G30" t="s">
        <v>36</v>
      </c>
      <c r="H30" t="s">
        <v>21</v>
      </c>
      <c r="I30">
        <v>7.4225</v>
      </c>
      <c r="J30">
        <v>0</v>
      </c>
      <c r="O30">
        <f>ROUND(CP30,2)</f>
        <v>670097.67</v>
      </c>
      <c r="P30">
        <f>ROUND(CQ30*I30,2)</f>
        <v>586302.9</v>
      </c>
      <c r="Q30">
        <f>ROUND(CR30*I30,2)</f>
        <v>9654.78</v>
      </c>
      <c r="R30">
        <f>ROUND(CS30*I30,2)</f>
        <v>2059.88</v>
      </c>
      <c r="S30">
        <f>ROUND(CT30*I30,2)</f>
        <v>74139.99</v>
      </c>
      <c r="T30">
        <f>ROUND(CU30*I30,2)</f>
        <v>0</v>
      </c>
      <c r="U30">
        <f>CV30*I30</f>
        <v>747.5199749999999</v>
      </c>
      <c r="V30">
        <f>CW30*I30</f>
        <v>21.82215</v>
      </c>
      <c r="W30">
        <f>ROUND(CX30*I30,2)</f>
        <v>0</v>
      </c>
      <c r="X30">
        <f t="shared" si="3"/>
        <v>87386.01</v>
      </c>
      <c r="Y30">
        <f t="shared" si="3"/>
        <v>60959.9</v>
      </c>
      <c r="AA30">
        <v>0</v>
      </c>
      <c r="AB30">
        <f>(AC30+AD30+AF30)</f>
        <v>29502.620000000003</v>
      </c>
      <c r="AC30">
        <f t="shared" si="4"/>
        <v>28311.81</v>
      </c>
      <c r="AD30">
        <f t="shared" si="4"/>
        <v>243.13</v>
      </c>
      <c r="AE30">
        <f t="shared" si="4"/>
        <v>26.33</v>
      </c>
      <c r="AF30">
        <f t="shared" si="4"/>
        <v>947.68</v>
      </c>
      <c r="AG30">
        <f>(AP30)</f>
        <v>0</v>
      </c>
      <c r="AH30">
        <f t="shared" si="5"/>
        <v>100.71</v>
      </c>
      <c r="AI30">
        <f t="shared" si="5"/>
        <v>2.94</v>
      </c>
      <c r="AJ30">
        <f>(AS30)</f>
        <v>0</v>
      </c>
      <c r="AK30">
        <v>29502.62</v>
      </c>
      <c r="AL30">
        <v>28311.81</v>
      </c>
      <c r="AM30">
        <v>243.13</v>
      </c>
      <c r="AN30">
        <v>26.33</v>
      </c>
      <c r="AO30">
        <v>947.68</v>
      </c>
      <c r="AP30">
        <v>0</v>
      </c>
      <c r="AQ30">
        <v>100.71</v>
      </c>
      <c r="AR30">
        <v>2.94</v>
      </c>
      <c r="AS30">
        <v>0</v>
      </c>
      <c r="AT30">
        <f t="shared" si="6"/>
        <v>114.68</v>
      </c>
      <c r="AU30">
        <f t="shared" si="6"/>
        <v>80</v>
      </c>
      <c r="AV30">
        <v>1</v>
      </c>
      <c r="AW30">
        <v>1</v>
      </c>
      <c r="AX30">
        <v>1</v>
      </c>
      <c r="AY30">
        <v>1</v>
      </c>
      <c r="AZ30">
        <v>3.5</v>
      </c>
      <c r="BA30">
        <v>10.54</v>
      </c>
      <c r="BB30">
        <v>5.35</v>
      </c>
      <c r="BC30">
        <v>2.79</v>
      </c>
      <c r="BH30">
        <v>0</v>
      </c>
      <c r="BI30">
        <v>1</v>
      </c>
      <c r="BJ30" t="s">
        <v>37</v>
      </c>
      <c r="BM30">
        <v>14</v>
      </c>
      <c r="BN30">
        <v>0</v>
      </c>
      <c r="BO30" t="s">
        <v>35</v>
      </c>
      <c r="BP30">
        <v>1</v>
      </c>
      <c r="BQ30">
        <v>2</v>
      </c>
      <c r="BR30">
        <v>0</v>
      </c>
      <c r="BS30">
        <v>10.54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114.68</v>
      </c>
      <c r="CA30">
        <v>80</v>
      </c>
      <c r="CF30">
        <v>0</v>
      </c>
      <c r="CG30">
        <v>0</v>
      </c>
      <c r="CM30">
        <v>0</v>
      </c>
      <c r="CO30">
        <v>0</v>
      </c>
      <c r="CP30">
        <f>(P30+Q30+S30)</f>
        <v>670097.67</v>
      </c>
      <c r="CQ30">
        <f>(AC30)*BC30</f>
        <v>78989.9499</v>
      </c>
      <c r="CR30">
        <f>(AD30)*BB30</f>
        <v>1300.7455</v>
      </c>
      <c r="CS30">
        <f>(AE30)*BS30</f>
        <v>277.5182</v>
      </c>
      <c r="CT30">
        <f>(AF30)*BA30</f>
        <v>9988.547199999999</v>
      </c>
      <c r="CU30">
        <f t="shared" si="7"/>
        <v>0</v>
      </c>
      <c r="CV30">
        <f t="shared" si="7"/>
        <v>100.71</v>
      </c>
      <c r="CW30">
        <f t="shared" si="7"/>
        <v>2.94</v>
      </c>
      <c r="CX30">
        <f t="shared" si="7"/>
        <v>0</v>
      </c>
      <c r="CY30">
        <f>(((S30+R30)*BZ30)/100)</f>
        <v>87386.01091600001</v>
      </c>
      <c r="CZ30">
        <f>(((S30+R30)*CA30)/100)</f>
        <v>60959.89600000001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21</v>
      </c>
      <c r="DW30" t="s">
        <v>23</v>
      </c>
      <c r="DX30">
        <v>100</v>
      </c>
      <c r="EE30">
        <v>5677327</v>
      </c>
      <c r="EF30">
        <v>2</v>
      </c>
      <c r="EG30" t="s">
        <v>24</v>
      </c>
      <c r="EH30">
        <v>0</v>
      </c>
      <c r="EJ30">
        <v>1</v>
      </c>
      <c r="EK30">
        <v>14</v>
      </c>
      <c r="EL30" t="s">
        <v>25</v>
      </c>
      <c r="EM30" t="s">
        <v>26</v>
      </c>
      <c r="EP30" t="s">
        <v>38</v>
      </c>
      <c r="EQ30">
        <v>0</v>
      </c>
      <c r="ER30">
        <v>29502.62</v>
      </c>
      <c r="ES30">
        <v>28311.81</v>
      </c>
      <c r="ET30">
        <v>243.13</v>
      </c>
      <c r="EU30">
        <v>26.33</v>
      </c>
      <c r="EV30">
        <v>947.68</v>
      </c>
      <c r="EW30">
        <v>100.71</v>
      </c>
      <c r="EX30">
        <v>2.94</v>
      </c>
    </row>
    <row r="31" spans="1:154" ht="12.75">
      <c r="A31">
        <v>18</v>
      </c>
      <c r="B31">
        <v>1</v>
      </c>
      <c r="C31">
        <v>24</v>
      </c>
      <c r="E31" t="s">
        <v>39</v>
      </c>
      <c r="F31" t="s">
        <v>40</v>
      </c>
      <c r="G31" t="s">
        <v>41</v>
      </c>
      <c r="H31" t="s">
        <v>42</v>
      </c>
      <c r="I31">
        <f>I30*J31</f>
        <v>1.645</v>
      </c>
      <c r="J31">
        <v>0.22162344223644323</v>
      </c>
      <c r="O31">
        <f>ROUND(CP31,2)</f>
        <v>37692.69</v>
      </c>
      <c r="P31">
        <f>ROUND(CQ31*I31,2)</f>
        <v>37692.69</v>
      </c>
      <c r="Q31">
        <f>ROUND(CR31*I31,2)</f>
        <v>0</v>
      </c>
      <c r="R31">
        <f>ROUND(CS31*I31,2)</f>
        <v>0</v>
      </c>
      <c r="S31">
        <f>ROUND(CT31*I31,2)</f>
        <v>0</v>
      </c>
      <c r="T31">
        <f>ROUND(CU31*I31,2)</f>
        <v>0</v>
      </c>
      <c r="U31">
        <f>CV31*I31</f>
        <v>0</v>
      </c>
      <c r="V31">
        <f>CW31*I31</f>
        <v>0</v>
      </c>
      <c r="W31">
        <f>ROUND(CX31*I31,2)</f>
        <v>0</v>
      </c>
      <c r="X31">
        <f t="shared" si="3"/>
        <v>0</v>
      </c>
      <c r="Y31">
        <f t="shared" si="3"/>
        <v>0</v>
      </c>
      <c r="AA31">
        <v>0</v>
      </c>
      <c r="AB31">
        <f>(AC31+AD31+AF31)</f>
        <v>8212.72</v>
      </c>
      <c r="AC31">
        <f aca="true" t="shared" si="8" ref="AC31:AJ31">AL31</f>
        <v>8212.72</v>
      </c>
      <c r="AD31">
        <f t="shared" si="8"/>
        <v>0</v>
      </c>
      <c r="AE31">
        <f t="shared" si="8"/>
        <v>0</v>
      </c>
      <c r="AF31">
        <f t="shared" si="8"/>
        <v>0</v>
      </c>
      <c r="AG31">
        <f t="shared" si="8"/>
        <v>0</v>
      </c>
      <c r="AH31">
        <f t="shared" si="8"/>
        <v>0</v>
      </c>
      <c r="AI31">
        <f t="shared" si="8"/>
        <v>0</v>
      </c>
      <c r="AJ31">
        <f t="shared" si="8"/>
        <v>0</v>
      </c>
      <c r="AK31">
        <v>8212.72</v>
      </c>
      <c r="AL31">
        <v>8212.72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f t="shared" si="6"/>
        <v>0</v>
      </c>
      <c r="AU31">
        <f t="shared" si="6"/>
        <v>0</v>
      </c>
      <c r="AV31">
        <v>1</v>
      </c>
      <c r="AW31">
        <v>1</v>
      </c>
      <c r="AX31">
        <v>1</v>
      </c>
      <c r="AY31">
        <v>1</v>
      </c>
      <c r="AZ31">
        <v>3.5</v>
      </c>
      <c r="BA31">
        <v>10.54</v>
      </c>
      <c r="BB31">
        <v>5.35</v>
      </c>
      <c r="BC31">
        <v>2.79</v>
      </c>
      <c r="BH31">
        <v>3</v>
      </c>
      <c r="BI31">
        <v>1</v>
      </c>
      <c r="BJ31" t="s">
        <v>43</v>
      </c>
      <c r="BM31">
        <v>1100</v>
      </c>
      <c r="BN31">
        <v>0</v>
      </c>
      <c r="BO31" t="s">
        <v>35</v>
      </c>
      <c r="BP31">
        <v>1</v>
      </c>
      <c r="BQ31">
        <v>8</v>
      </c>
      <c r="BR31">
        <v>0</v>
      </c>
      <c r="BS31">
        <v>10.54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>(P31+Q31+S31)</f>
        <v>37692.69</v>
      </c>
      <c r="CQ31">
        <f>(AC31)*BC31</f>
        <v>22913.4888</v>
      </c>
      <c r="CR31">
        <f>(AD31)*BB31</f>
        <v>0</v>
      </c>
      <c r="CS31">
        <f>(AE31)*BS31</f>
        <v>0</v>
      </c>
      <c r="CT31">
        <f>(AF31)*BA31</f>
        <v>0</v>
      </c>
      <c r="CU31">
        <f t="shared" si="7"/>
        <v>0</v>
      </c>
      <c r="CV31">
        <f t="shared" si="7"/>
        <v>0</v>
      </c>
      <c r="CW31">
        <f t="shared" si="7"/>
        <v>0</v>
      </c>
      <c r="CX31">
        <f t="shared" si="7"/>
        <v>0</v>
      </c>
      <c r="CY31">
        <f>(((S31+R31)*BZ31)/100)</f>
        <v>0</v>
      </c>
      <c r="CZ31">
        <f>(((S31+R31)*CA31)/100)</f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42</v>
      </c>
      <c r="DW31" t="s">
        <v>42</v>
      </c>
      <c r="DX31">
        <v>1000</v>
      </c>
      <c r="EE31">
        <v>5677405</v>
      </c>
      <c r="EF31">
        <v>8</v>
      </c>
      <c r="EG31" t="s">
        <v>44</v>
      </c>
      <c r="EH31">
        <v>0</v>
      </c>
      <c r="EJ31">
        <v>1</v>
      </c>
      <c r="EK31">
        <v>1100</v>
      </c>
      <c r="EL31" t="s">
        <v>45</v>
      </c>
      <c r="EM31" t="s">
        <v>46</v>
      </c>
      <c r="EQ31">
        <v>0</v>
      </c>
      <c r="ER31">
        <v>8212.72</v>
      </c>
      <c r="ES31">
        <v>8212.72</v>
      </c>
      <c r="ET31">
        <v>0</v>
      </c>
      <c r="EU31">
        <v>0</v>
      </c>
      <c r="EV31">
        <v>0</v>
      </c>
      <c r="EW31">
        <v>0</v>
      </c>
      <c r="EX31">
        <v>0</v>
      </c>
    </row>
    <row r="33" spans="1:39" ht="12.75">
      <c r="A33" s="2">
        <v>51</v>
      </c>
      <c r="B33" s="2">
        <f>B24</f>
        <v>1</v>
      </c>
      <c r="C33" s="2">
        <f>A24</f>
        <v>4</v>
      </c>
      <c r="D33" s="2">
        <f>ROW(A24)</f>
        <v>24</v>
      </c>
      <c r="E33" s="2"/>
      <c r="F33" s="2" t="str">
        <f>IF(F24&lt;&gt;"",F24,"")</f>
        <v>Новый раздел</v>
      </c>
      <c r="G33" s="2" t="str">
        <f>IF(G24&lt;&gt;"",G24,"")</f>
        <v>Внутренние перегородки техподполья</v>
      </c>
      <c r="H33" s="2"/>
      <c r="I33" s="2"/>
      <c r="J33" s="2"/>
      <c r="K33" s="2"/>
      <c r="L33" s="2"/>
      <c r="M33" s="2"/>
      <c r="N33" s="2"/>
      <c r="O33" s="2">
        <f aca="true" t="shared" si="9" ref="O33:Y33">ROUND(AB33,2)</f>
        <v>2307352.25</v>
      </c>
      <c r="P33" s="2">
        <f t="shared" si="9"/>
        <v>1879840.92</v>
      </c>
      <c r="Q33" s="2">
        <f t="shared" si="9"/>
        <v>82893.69</v>
      </c>
      <c r="R33" s="2">
        <f t="shared" si="9"/>
        <v>23917.68</v>
      </c>
      <c r="S33" s="2">
        <f t="shared" si="9"/>
        <v>344617.64</v>
      </c>
      <c r="T33" s="2">
        <f t="shared" si="9"/>
        <v>0</v>
      </c>
      <c r="U33" s="2">
        <f t="shared" si="9"/>
        <v>3795.01</v>
      </c>
      <c r="V33" s="2">
        <f t="shared" si="9"/>
        <v>176.42</v>
      </c>
      <c r="W33" s="2">
        <f t="shared" si="9"/>
        <v>0</v>
      </c>
      <c r="X33" s="2">
        <f t="shared" si="9"/>
        <v>422636.3</v>
      </c>
      <c r="Y33" s="2">
        <f t="shared" si="9"/>
        <v>294828.26</v>
      </c>
      <c r="Z33" s="2"/>
      <c r="AA33" s="2"/>
      <c r="AB33" s="2">
        <f>ROUND(SUMIF(AA28:AA31,"=0",O28:O31),2)</f>
        <v>2307352.25</v>
      </c>
      <c r="AC33" s="2">
        <f>ROUND(SUMIF(AA28:AA31,"=0",P28:P31),2)</f>
        <v>1879840.92</v>
      </c>
      <c r="AD33" s="2">
        <f>ROUND(SUMIF(AA28:AA31,"=0",Q28:Q31),2)</f>
        <v>82893.69</v>
      </c>
      <c r="AE33" s="2">
        <f>ROUND(SUMIF(AA28:AA31,"=0",R28:R31),2)</f>
        <v>23917.68</v>
      </c>
      <c r="AF33" s="2">
        <f>ROUND(SUMIF(AA28:AA31,"=0",S28:S31),2)</f>
        <v>344617.64</v>
      </c>
      <c r="AG33" s="2">
        <f>ROUND(SUMIF(AA28:AA31,"=0",T28:T31),2)</f>
        <v>0</v>
      </c>
      <c r="AH33" s="2">
        <f>ROUND(SUMIF(AA28:AA31,"=0",U28:U31),2)</f>
        <v>3795.01</v>
      </c>
      <c r="AI33" s="2">
        <f>ROUND(SUMIF(AA28:AA31,"=0",V28:V31),2)</f>
        <v>176.42</v>
      </c>
      <c r="AJ33" s="2">
        <f>ROUND(SUMIF(AA28:AA31,"=0",W28:W31),2)</f>
        <v>0</v>
      </c>
      <c r="AK33" s="2">
        <f>ROUND(SUMIF(AA28:AA31,"=0",X28:X31),2)</f>
        <v>422636.3</v>
      </c>
      <c r="AL33" s="2">
        <f>ROUND(SUMIF(AA28:AA31,"=0",Y28:Y31),2)</f>
        <v>294828.26</v>
      </c>
      <c r="AM33" s="2">
        <v>0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201</v>
      </c>
      <c r="F35" s="3">
        <f>Source!O33</f>
        <v>2307352.25</v>
      </c>
      <c r="G35" s="3" t="s">
        <v>47</v>
      </c>
      <c r="H35" s="3" t="s">
        <v>48</v>
      </c>
      <c r="I35" s="3"/>
      <c r="J35" s="3"/>
      <c r="K35" s="3">
        <v>201</v>
      </c>
      <c r="L35" s="3">
        <v>1</v>
      </c>
      <c r="M35" s="3">
        <v>3</v>
      </c>
      <c r="N35" s="3" t="s">
        <v>3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202</v>
      </c>
      <c r="F36" s="3">
        <f>Source!P33</f>
        <v>1879840.92</v>
      </c>
      <c r="G36" s="3" t="s">
        <v>49</v>
      </c>
      <c r="H36" s="3" t="s">
        <v>50</v>
      </c>
      <c r="I36" s="3"/>
      <c r="J36" s="3"/>
      <c r="K36" s="3">
        <v>202</v>
      </c>
      <c r="L36" s="3">
        <v>2</v>
      </c>
      <c r="M36" s="3">
        <v>3</v>
      </c>
      <c r="N36" s="3" t="s">
        <v>3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203</v>
      </c>
      <c r="F37" s="3">
        <f>Source!Q33</f>
        <v>82893.69</v>
      </c>
      <c r="G37" s="3" t="s">
        <v>51</v>
      </c>
      <c r="H37" s="3" t="s">
        <v>52</v>
      </c>
      <c r="I37" s="3"/>
      <c r="J37" s="3"/>
      <c r="K37" s="3">
        <v>203</v>
      </c>
      <c r="L37" s="3">
        <v>3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204</v>
      </c>
      <c r="F38" s="3">
        <f>Source!R33</f>
        <v>23917.68</v>
      </c>
      <c r="G38" s="3" t="s">
        <v>53</v>
      </c>
      <c r="H38" s="3" t="s">
        <v>54</v>
      </c>
      <c r="I38" s="3"/>
      <c r="J38" s="3"/>
      <c r="K38" s="3">
        <v>204</v>
      </c>
      <c r="L38" s="3">
        <v>4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205</v>
      </c>
      <c r="F39" s="3">
        <f>Source!S33</f>
        <v>344617.64</v>
      </c>
      <c r="G39" s="3" t="s">
        <v>55</v>
      </c>
      <c r="H39" s="3" t="s">
        <v>56</v>
      </c>
      <c r="I39" s="3"/>
      <c r="J39" s="3"/>
      <c r="K39" s="3">
        <v>205</v>
      </c>
      <c r="L39" s="3">
        <v>5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206</v>
      </c>
      <c r="F40" s="3">
        <f>Source!T33</f>
        <v>0</v>
      </c>
      <c r="G40" s="3" t="s">
        <v>57</v>
      </c>
      <c r="H40" s="3" t="s">
        <v>58</v>
      </c>
      <c r="I40" s="3"/>
      <c r="J40" s="3"/>
      <c r="K40" s="3">
        <v>206</v>
      </c>
      <c r="L40" s="3">
        <v>6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207</v>
      </c>
      <c r="F41" s="3">
        <f>Source!U33</f>
        <v>3795.01</v>
      </c>
      <c r="G41" s="3" t="s">
        <v>59</v>
      </c>
      <c r="H41" s="3" t="s">
        <v>60</v>
      </c>
      <c r="I41" s="3"/>
      <c r="J41" s="3"/>
      <c r="K41" s="3">
        <v>207</v>
      </c>
      <c r="L41" s="3">
        <v>7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208</v>
      </c>
      <c r="F42" s="3">
        <f>Source!V33</f>
        <v>176.42</v>
      </c>
      <c r="G42" s="3" t="s">
        <v>61</v>
      </c>
      <c r="H42" s="3" t="s">
        <v>62</v>
      </c>
      <c r="I42" s="3"/>
      <c r="J42" s="3"/>
      <c r="K42" s="3">
        <v>208</v>
      </c>
      <c r="L42" s="3">
        <v>8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209</v>
      </c>
      <c r="F43" s="3">
        <f>Source!W33</f>
        <v>0</v>
      </c>
      <c r="G43" s="3" t="s">
        <v>63</v>
      </c>
      <c r="H43" s="3" t="s">
        <v>64</v>
      </c>
      <c r="I43" s="3"/>
      <c r="J43" s="3"/>
      <c r="K43" s="3">
        <v>209</v>
      </c>
      <c r="L43" s="3">
        <v>9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210</v>
      </c>
      <c r="F44" s="3">
        <f>Source!X33</f>
        <v>422636.3</v>
      </c>
      <c r="G44" s="3" t="s">
        <v>65</v>
      </c>
      <c r="H44" s="3" t="s">
        <v>66</v>
      </c>
      <c r="I44" s="3"/>
      <c r="J44" s="3"/>
      <c r="K44" s="3">
        <v>210</v>
      </c>
      <c r="L44" s="3">
        <v>10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211</v>
      </c>
      <c r="F45" s="3">
        <f>Source!Y33</f>
        <v>294828.26</v>
      </c>
      <c r="G45" s="3" t="s">
        <v>67</v>
      </c>
      <c r="H45" s="3" t="s">
        <v>68</v>
      </c>
      <c r="I45" s="3"/>
      <c r="J45" s="3"/>
      <c r="K45" s="3">
        <v>211</v>
      </c>
      <c r="L45" s="3">
        <v>11</v>
      </c>
      <c r="M45" s="3">
        <v>3</v>
      </c>
      <c r="N45" s="3" t="s">
        <v>3</v>
      </c>
    </row>
    <row r="46" ht="12.75">
      <c r="G46">
        <v>0</v>
      </c>
    </row>
    <row r="47" spans="1:59" ht="12.75">
      <c r="A47" s="1">
        <v>4</v>
      </c>
      <c r="B47" s="1">
        <v>1</v>
      </c>
      <c r="C47" s="1"/>
      <c r="D47" s="1">
        <f>ROW(A57)</f>
        <v>57</v>
      </c>
      <c r="E47" s="1"/>
      <c r="F47" s="1" t="s">
        <v>15</v>
      </c>
      <c r="G47" s="1" t="s">
        <v>69</v>
      </c>
      <c r="H47" s="1"/>
      <c r="I47" s="1"/>
      <c r="J47" s="1"/>
      <c r="K47" s="1"/>
      <c r="L47" s="1"/>
      <c r="M47" s="1"/>
      <c r="N47" s="1" t="s">
        <v>3</v>
      </c>
      <c r="O47" s="1"/>
      <c r="P47" s="1"/>
      <c r="Q47" s="1"/>
      <c r="R47" s="1" t="s">
        <v>3</v>
      </c>
      <c r="S47" s="1" t="s">
        <v>3</v>
      </c>
      <c r="T47" s="1" t="s">
        <v>3</v>
      </c>
      <c r="U47" s="1" t="s">
        <v>3</v>
      </c>
      <c r="V47" s="1"/>
      <c r="W47" s="1"/>
      <c r="X47" s="1"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>
        <v>0</v>
      </c>
      <c r="AM47" s="1"/>
      <c r="BE47" t="s">
        <v>70</v>
      </c>
      <c r="BF47">
        <v>0</v>
      </c>
      <c r="BG47">
        <v>0</v>
      </c>
    </row>
    <row r="49" spans="1:39" ht="12.75">
      <c r="A49" s="2">
        <v>52</v>
      </c>
      <c r="B49" s="2">
        <f aca="true" t="shared" si="10" ref="B49:AM49">B57</f>
        <v>1</v>
      </c>
      <c r="C49" s="2">
        <f t="shared" si="10"/>
        <v>4</v>
      </c>
      <c r="D49" s="2">
        <f t="shared" si="10"/>
        <v>47</v>
      </c>
      <c r="E49" s="2">
        <f t="shared" si="10"/>
        <v>0</v>
      </c>
      <c r="F49" s="2" t="str">
        <f t="shared" si="10"/>
        <v>Новый раздел</v>
      </c>
      <c r="G49" s="2" t="str">
        <f t="shared" si="10"/>
        <v>Стены косоуры лестниц с 1-го этажа на 2 -й и в техподполье</v>
      </c>
      <c r="H49" s="2">
        <f t="shared" si="10"/>
        <v>0</v>
      </c>
      <c r="I49" s="2">
        <f t="shared" si="10"/>
        <v>0</v>
      </c>
      <c r="J49" s="2">
        <f t="shared" si="10"/>
        <v>0</v>
      </c>
      <c r="K49" s="2">
        <f t="shared" si="10"/>
        <v>0</v>
      </c>
      <c r="L49" s="2">
        <f t="shared" si="10"/>
        <v>0</v>
      </c>
      <c r="M49" s="2">
        <f t="shared" si="10"/>
        <v>0</v>
      </c>
      <c r="N49" s="2">
        <f t="shared" si="10"/>
        <v>0</v>
      </c>
      <c r="O49" s="2">
        <f t="shared" si="10"/>
        <v>565452.54</v>
      </c>
      <c r="P49" s="2">
        <f t="shared" si="10"/>
        <v>473147.52</v>
      </c>
      <c r="Q49" s="2">
        <f t="shared" si="10"/>
        <v>18750.13</v>
      </c>
      <c r="R49" s="2">
        <f t="shared" si="10"/>
        <v>5309.77</v>
      </c>
      <c r="S49" s="2">
        <f t="shared" si="10"/>
        <v>73554.89</v>
      </c>
      <c r="T49" s="2">
        <f t="shared" si="10"/>
        <v>0</v>
      </c>
      <c r="U49" s="2">
        <f t="shared" si="10"/>
        <v>808.18</v>
      </c>
      <c r="V49" s="2">
        <f t="shared" si="10"/>
        <v>39.83</v>
      </c>
      <c r="W49" s="2">
        <f t="shared" si="10"/>
        <v>0</v>
      </c>
      <c r="X49" s="2">
        <f t="shared" si="10"/>
        <v>100065.92</v>
      </c>
      <c r="Y49" s="2">
        <f t="shared" si="10"/>
        <v>69207.11</v>
      </c>
      <c r="Z49" s="2">
        <f t="shared" si="10"/>
        <v>0</v>
      </c>
      <c r="AA49" s="2">
        <f t="shared" si="10"/>
        <v>0</v>
      </c>
      <c r="AB49" s="2">
        <f t="shared" si="10"/>
        <v>565452.54</v>
      </c>
      <c r="AC49" s="2">
        <f t="shared" si="10"/>
        <v>473147.52</v>
      </c>
      <c r="AD49" s="2">
        <f t="shared" si="10"/>
        <v>18750.13</v>
      </c>
      <c r="AE49" s="2">
        <f t="shared" si="10"/>
        <v>5309.77</v>
      </c>
      <c r="AF49" s="2">
        <f t="shared" si="10"/>
        <v>73554.89</v>
      </c>
      <c r="AG49" s="2">
        <f t="shared" si="10"/>
        <v>0</v>
      </c>
      <c r="AH49" s="2">
        <f t="shared" si="10"/>
        <v>808.18</v>
      </c>
      <c r="AI49" s="2">
        <f t="shared" si="10"/>
        <v>39.83</v>
      </c>
      <c r="AJ49" s="2">
        <f t="shared" si="10"/>
        <v>0</v>
      </c>
      <c r="AK49" s="2">
        <f t="shared" si="10"/>
        <v>100065.92</v>
      </c>
      <c r="AL49" s="2">
        <f t="shared" si="10"/>
        <v>69207.11</v>
      </c>
      <c r="AM49" s="2">
        <f t="shared" si="10"/>
        <v>0</v>
      </c>
    </row>
    <row r="51" spans="1:154" ht="12.75">
      <c r="A51">
        <v>17</v>
      </c>
      <c r="B51">
        <v>1</v>
      </c>
      <c r="C51">
        <f>ROW(SmtRes!A33)</f>
        <v>33</v>
      </c>
      <c r="D51">
        <f>ROW(EtalonRes!A32)</f>
        <v>32</v>
      </c>
      <c r="E51" t="s">
        <v>18</v>
      </c>
      <c r="F51" t="s">
        <v>29</v>
      </c>
      <c r="G51" t="s">
        <v>30</v>
      </c>
      <c r="H51" t="s">
        <v>31</v>
      </c>
      <c r="I51">
        <v>87.57</v>
      </c>
      <c r="J51">
        <v>0</v>
      </c>
      <c r="O51">
        <f>ROUND(CP51,2)</f>
        <v>327240.27</v>
      </c>
      <c r="P51">
        <f>ROUND(CQ51*I51,2)</f>
        <v>270659.86</v>
      </c>
      <c r="Q51">
        <f>ROUND(CR51*I51,2)</f>
        <v>16615.04</v>
      </c>
      <c r="R51">
        <f>ROUND(CS51*I51,2)</f>
        <v>4984.13</v>
      </c>
      <c r="S51">
        <f>ROUND(CT51*I51,2)</f>
        <v>39965.37</v>
      </c>
      <c r="T51">
        <f>ROUND(CU51*I51,2)</f>
        <v>0</v>
      </c>
      <c r="U51">
        <f>CV51*I51</f>
        <v>456.23969999999997</v>
      </c>
      <c r="V51">
        <f>CW51*I51</f>
        <v>35.028</v>
      </c>
      <c r="W51">
        <f>ROUND(CX51*I51,2)</f>
        <v>0</v>
      </c>
      <c r="X51">
        <f aca="true" t="shared" si="11" ref="X51:Y55">ROUND(CY51,2)</f>
        <v>51548.09</v>
      </c>
      <c r="Y51">
        <f t="shared" si="11"/>
        <v>35959.6</v>
      </c>
      <c r="AA51">
        <v>0</v>
      </c>
      <c r="AB51">
        <f>(AC51+AD51+AF51)</f>
        <v>893.3699999999999</v>
      </c>
      <c r="AC51">
        <f aca="true" t="shared" si="12" ref="AC51:AF52">(ES51)</f>
        <v>815.51</v>
      </c>
      <c r="AD51">
        <f t="shared" si="12"/>
        <v>34.56</v>
      </c>
      <c r="AE51">
        <f t="shared" si="12"/>
        <v>5.4</v>
      </c>
      <c r="AF51">
        <f t="shared" si="12"/>
        <v>43.3</v>
      </c>
      <c r="AG51">
        <f>(AP51)</f>
        <v>0</v>
      </c>
      <c r="AH51">
        <f aca="true" t="shared" si="13" ref="AH51:AI53">(EW51)</f>
        <v>5.21</v>
      </c>
      <c r="AI51">
        <f t="shared" si="13"/>
        <v>0.4</v>
      </c>
      <c r="AJ51">
        <f>(AS51)</f>
        <v>0</v>
      </c>
      <c r="AK51">
        <v>893.37</v>
      </c>
      <c r="AL51">
        <v>815.51</v>
      </c>
      <c r="AM51">
        <v>34.56</v>
      </c>
      <c r="AN51">
        <v>5.4</v>
      </c>
      <c r="AO51">
        <v>43.3</v>
      </c>
      <c r="AP51">
        <v>0</v>
      </c>
      <c r="AQ51">
        <v>5.21</v>
      </c>
      <c r="AR51">
        <v>0.4</v>
      </c>
      <c r="AS51">
        <v>0</v>
      </c>
      <c r="AT51">
        <f aca="true" t="shared" si="14" ref="AT51:AU55">BZ51</f>
        <v>114.68</v>
      </c>
      <c r="AU51">
        <f t="shared" si="14"/>
        <v>80</v>
      </c>
      <c r="AV51">
        <v>1</v>
      </c>
      <c r="AW51">
        <v>1</v>
      </c>
      <c r="AX51">
        <v>1</v>
      </c>
      <c r="AY51">
        <v>1</v>
      </c>
      <c r="AZ51">
        <v>4.78</v>
      </c>
      <c r="BA51">
        <v>10.54</v>
      </c>
      <c r="BB51">
        <v>5.49</v>
      </c>
      <c r="BC51">
        <v>3.79</v>
      </c>
      <c r="BH51">
        <v>0</v>
      </c>
      <c r="BI51">
        <v>1</v>
      </c>
      <c r="BJ51" t="s">
        <v>32</v>
      </c>
      <c r="BM51">
        <v>14</v>
      </c>
      <c r="BN51">
        <v>0</v>
      </c>
      <c r="BO51" t="s">
        <v>29</v>
      </c>
      <c r="BP51">
        <v>1</v>
      </c>
      <c r="BQ51">
        <v>2</v>
      </c>
      <c r="BR51">
        <v>0</v>
      </c>
      <c r="BS51">
        <v>10.54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114.68</v>
      </c>
      <c r="CA51">
        <v>80</v>
      </c>
      <c r="CF51">
        <v>0</v>
      </c>
      <c r="CG51">
        <v>0</v>
      </c>
      <c r="CM51">
        <v>0</v>
      </c>
      <c r="CO51">
        <v>0</v>
      </c>
      <c r="CP51">
        <f>(P51+Q51+S51)</f>
        <v>327240.26999999996</v>
      </c>
      <c r="CQ51">
        <f>(AC51)*BC51</f>
        <v>3090.7829</v>
      </c>
      <c r="CR51">
        <f>(AD51)*BB51</f>
        <v>189.73440000000002</v>
      </c>
      <c r="CS51">
        <f>(AE51)*BS51</f>
        <v>56.916</v>
      </c>
      <c r="CT51">
        <f>(AF51)*BA51</f>
        <v>456.38199999999995</v>
      </c>
      <c r="CU51">
        <f aca="true" t="shared" si="15" ref="CU51:CX55">(AG51)*BT51</f>
        <v>0</v>
      </c>
      <c r="CV51">
        <f t="shared" si="15"/>
        <v>5.21</v>
      </c>
      <c r="CW51">
        <f t="shared" si="15"/>
        <v>0.4</v>
      </c>
      <c r="CX51">
        <f t="shared" si="15"/>
        <v>0</v>
      </c>
      <c r="CY51">
        <f>(((S51+R51)*BZ51)/100)</f>
        <v>51548.0866</v>
      </c>
      <c r="CZ51">
        <f>(((S51+R51)*CA51)/100)</f>
        <v>35959.6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1007</v>
      </c>
      <c r="DV51" t="s">
        <v>31</v>
      </c>
      <c r="DW51" t="s">
        <v>33</v>
      </c>
      <c r="DX51">
        <v>1</v>
      </c>
      <c r="EE51">
        <v>5677327</v>
      </c>
      <c r="EF51">
        <v>2</v>
      </c>
      <c r="EG51" t="s">
        <v>24</v>
      </c>
      <c r="EH51">
        <v>0</v>
      </c>
      <c r="EJ51">
        <v>1</v>
      </c>
      <c r="EK51">
        <v>14</v>
      </c>
      <c r="EL51" t="s">
        <v>25</v>
      </c>
      <c r="EM51" t="s">
        <v>26</v>
      </c>
      <c r="EP51" t="s">
        <v>355</v>
      </c>
      <c r="EQ51">
        <v>0</v>
      </c>
      <c r="ER51">
        <v>893.37</v>
      </c>
      <c r="ES51">
        <v>815.51</v>
      </c>
      <c r="ET51">
        <v>34.56</v>
      </c>
      <c r="EU51">
        <v>5.4</v>
      </c>
      <c r="EV51">
        <v>43.3</v>
      </c>
      <c r="EW51">
        <v>5.21</v>
      </c>
      <c r="EX51">
        <v>0.4</v>
      </c>
    </row>
    <row r="52" spans="1:154" ht="12.75">
      <c r="A52">
        <v>17</v>
      </c>
      <c r="B52">
        <v>1</v>
      </c>
      <c r="C52">
        <f>ROW(SmtRes!A39)</f>
        <v>39</v>
      </c>
      <c r="D52">
        <f>ROW(EtalonRes!A38)</f>
        <v>38</v>
      </c>
      <c r="E52" t="s">
        <v>28</v>
      </c>
      <c r="F52" t="s">
        <v>71</v>
      </c>
      <c r="G52" t="s">
        <v>72</v>
      </c>
      <c r="H52" t="s">
        <v>73</v>
      </c>
      <c r="I52">
        <v>2.82</v>
      </c>
      <c r="J52">
        <v>0</v>
      </c>
      <c r="O52">
        <f>ROUND(CP52,2)</f>
        <v>227797.95</v>
      </c>
      <c r="P52">
        <f>ROUND(CQ52*I52,2)</f>
        <v>194204.8</v>
      </c>
      <c r="Q52">
        <f>ROUND(CR52*I52,2)</f>
        <v>1822.45</v>
      </c>
      <c r="R52">
        <f>ROUND(CS52*I52,2)</f>
        <v>236.89</v>
      </c>
      <c r="S52">
        <f>ROUND(CT52*I52,2)</f>
        <v>31770.7</v>
      </c>
      <c r="T52">
        <f>ROUND(CU52*I52,2)</f>
        <v>0</v>
      </c>
      <c r="U52">
        <f>CV52*I52</f>
        <v>331.9704</v>
      </c>
      <c r="V52">
        <f>CW52*I52</f>
        <v>4.1453999999999995</v>
      </c>
      <c r="W52">
        <f>ROUND(CX52*I52,2)</f>
        <v>0</v>
      </c>
      <c r="X52">
        <f t="shared" si="11"/>
        <v>46635.06</v>
      </c>
      <c r="Y52">
        <f t="shared" si="11"/>
        <v>32007.59</v>
      </c>
      <c r="AA52">
        <v>0</v>
      </c>
      <c r="AB52">
        <f>(AC52+AD52+AF52)</f>
        <v>15255.81</v>
      </c>
      <c r="AC52">
        <f t="shared" si="12"/>
        <v>14054.48</v>
      </c>
      <c r="AD52">
        <f t="shared" si="12"/>
        <v>132.43</v>
      </c>
      <c r="AE52">
        <f t="shared" si="12"/>
        <v>7.97</v>
      </c>
      <c r="AF52">
        <f t="shared" si="12"/>
        <v>1068.9</v>
      </c>
      <c r="AG52">
        <f>(AP52)</f>
        <v>0</v>
      </c>
      <c r="AH52">
        <f t="shared" si="13"/>
        <v>117.72</v>
      </c>
      <c r="AI52">
        <f t="shared" si="13"/>
        <v>1.47</v>
      </c>
      <c r="AJ52">
        <f>(AS52)</f>
        <v>0</v>
      </c>
      <c r="AK52">
        <v>15255.81</v>
      </c>
      <c r="AL52">
        <v>14054.48</v>
      </c>
      <c r="AM52">
        <v>132.43</v>
      </c>
      <c r="AN52">
        <v>7.97</v>
      </c>
      <c r="AO52">
        <v>1068.9</v>
      </c>
      <c r="AP52">
        <v>0</v>
      </c>
      <c r="AQ52">
        <v>117.72</v>
      </c>
      <c r="AR52">
        <v>1.47</v>
      </c>
      <c r="AS52">
        <v>0</v>
      </c>
      <c r="AT52">
        <f t="shared" si="14"/>
        <v>145.7</v>
      </c>
      <c r="AU52">
        <f t="shared" si="14"/>
        <v>100</v>
      </c>
      <c r="AV52">
        <v>1</v>
      </c>
      <c r="AW52">
        <v>1</v>
      </c>
      <c r="AX52">
        <v>1</v>
      </c>
      <c r="AY52">
        <v>1</v>
      </c>
      <c r="AZ52">
        <v>6.04</v>
      </c>
      <c r="BA52">
        <v>10.54</v>
      </c>
      <c r="BB52">
        <v>4.88</v>
      </c>
      <c r="BC52">
        <v>4.9</v>
      </c>
      <c r="BH52">
        <v>0</v>
      </c>
      <c r="BI52">
        <v>1</v>
      </c>
      <c r="BJ52" t="s">
        <v>74</v>
      </c>
      <c r="BM52">
        <v>12</v>
      </c>
      <c r="BN52">
        <v>0</v>
      </c>
      <c r="BO52" t="s">
        <v>71</v>
      </c>
      <c r="BP52">
        <v>1</v>
      </c>
      <c r="BQ52">
        <v>2</v>
      </c>
      <c r="BR52">
        <v>0</v>
      </c>
      <c r="BS52">
        <v>10.54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145.7</v>
      </c>
      <c r="CA52">
        <v>100</v>
      </c>
      <c r="CF52">
        <v>0</v>
      </c>
      <c r="CG52">
        <v>0</v>
      </c>
      <c r="CM52">
        <v>0</v>
      </c>
      <c r="CO52">
        <v>0</v>
      </c>
      <c r="CP52">
        <f>(P52+Q52+S52)</f>
        <v>227797.95</v>
      </c>
      <c r="CQ52">
        <f>(AC52)*BC52</f>
        <v>68866.952</v>
      </c>
      <c r="CR52">
        <f>(AD52)*BB52</f>
        <v>646.2584</v>
      </c>
      <c r="CS52">
        <f>(AE52)*BS52</f>
        <v>84.00379999999998</v>
      </c>
      <c r="CT52">
        <f>(AF52)*BA52</f>
        <v>11266.206</v>
      </c>
      <c r="CU52">
        <f t="shared" si="15"/>
        <v>0</v>
      </c>
      <c r="CV52">
        <f t="shared" si="15"/>
        <v>117.72</v>
      </c>
      <c r="CW52">
        <f t="shared" si="15"/>
        <v>1.47</v>
      </c>
      <c r="CX52">
        <f t="shared" si="15"/>
        <v>0</v>
      </c>
      <c r="CY52">
        <f>(((S52+R52)*BZ52)/100)</f>
        <v>46635.05863</v>
      </c>
      <c r="CZ52">
        <f>(((S52+R52)*CA52)/100)</f>
        <v>32007.59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1003</v>
      </c>
      <c r="DV52" t="s">
        <v>73</v>
      </c>
      <c r="DW52" t="s">
        <v>75</v>
      </c>
      <c r="DX52">
        <v>100</v>
      </c>
      <c r="EE52">
        <v>5677326</v>
      </c>
      <c r="EF52">
        <v>2</v>
      </c>
      <c r="EG52" t="s">
        <v>24</v>
      </c>
      <c r="EH52">
        <v>0</v>
      </c>
      <c r="EJ52">
        <v>1</v>
      </c>
      <c r="EK52">
        <v>12</v>
      </c>
      <c r="EL52" t="s">
        <v>76</v>
      </c>
      <c r="EM52" t="s">
        <v>77</v>
      </c>
      <c r="EP52" t="s">
        <v>78</v>
      </c>
      <c r="EQ52">
        <v>0</v>
      </c>
      <c r="ER52">
        <v>15255.81</v>
      </c>
      <c r="ES52">
        <v>14054.48</v>
      </c>
      <c r="ET52">
        <v>132.43</v>
      </c>
      <c r="EU52">
        <v>7.97</v>
      </c>
      <c r="EV52">
        <v>1068.9</v>
      </c>
      <c r="EW52">
        <v>117.72</v>
      </c>
      <c r="EX52">
        <v>1.47</v>
      </c>
    </row>
    <row r="53" spans="1:154" ht="12.75">
      <c r="A53">
        <v>17</v>
      </c>
      <c r="B53">
        <v>1</v>
      </c>
      <c r="C53">
        <f>ROW(SmtRes!A62)</f>
        <v>62</v>
      </c>
      <c r="D53">
        <f>ROW(EtalonRes!A60)</f>
        <v>60</v>
      </c>
      <c r="E53" t="s">
        <v>79</v>
      </c>
      <c r="F53" t="s">
        <v>80</v>
      </c>
      <c r="G53" t="s">
        <v>81</v>
      </c>
      <c r="H53" t="s">
        <v>82</v>
      </c>
      <c r="I53">
        <v>0.021</v>
      </c>
      <c r="J53">
        <v>0</v>
      </c>
      <c r="O53">
        <f>ROUND(CP53,2)</f>
        <v>8644.8</v>
      </c>
      <c r="P53">
        <f>ROUND(CQ53*I53,2)</f>
        <v>6513.34</v>
      </c>
      <c r="Q53">
        <f>ROUND(CR53*I53,2)</f>
        <v>312.64</v>
      </c>
      <c r="R53">
        <f>ROUND(CS53*I53,2)</f>
        <v>88.75</v>
      </c>
      <c r="S53">
        <f>ROUND(CT53*I53,2)</f>
        <v>1818.82</v>
      </c>
      <c r="T53">
        <f>ROUND(CU53*I53,2)</f>
        <v>0</v>
      </c>
      <c r="U53">
        <f>CV53*I53</f>
        <v>19.97268</v>
      </c>
      <c r="V53">
        <f>CW53*I53</f>
        <v>0.6545700000000001</v>
      </c>
      <c r="W53">
        <f>ROUND(CX53*I53,2)</f>
        <v>0</v>
      </c>
      <c r="X53">
        <f t="shared" si="11"/>
        <v>1882.77</v>
      </c>
      <c r="Y53">
        <f t="shared" si="11"/>
        <v>1239.92</v>
      </c>
      <c r="AA53">
        <v>0</v>
      </c>
      <c r="AB53">
        <f>(AC53+AD53+AF53)</f>
        <v>79125.9</v>
      </c>
      <c r="AC53">
        <f>(ES53+(SUM(SmtRes!BC40:SmtRes!BC62)+SUM(EtalonRes!AL39:EtalonRes!AL60)))</f>
        <v>68166.82999999999</v>
      </c>
      <c r="AD53">
        <f>(ET53)</f>
        <v>2741.74</v>
      </c>
      <c r="AE53">
        <f>(EU53)</f>
        <v>400.97</v>
      </c>
      <c r="AF53">
        <f>(EV53)</f>
        <v>8217.33</v>
      </c>
      <c r="AG53">
        <f>(AP53)</f>
        <v>0</v>
      </c>
      <c r="AH53">
        <f t="shared" si="13"/>
        <v>951.08</v>
      </c>
      <c r="AI53">
        <f t="shared" si="13"/>
        <v>31.17</v>
      </c>
      <c r="AJ53">
        <f>(AS53)</f>
        <v>0</v>
      </c>
      <c r="AK53">
        <v>146623.4</v>
      </c>
      <c r="AL53">
        <v>135664.33</v>
      </c>
      <c r="AM53">
        <v>2741.74</v>
      </c>
      <c r="AN53">
        <v>400.97</v>
      </c>
      <c r="AO53">
        <v>8217.33</v>
      </c>
      <c r="AP53">
        <v>0</v>
      </c>
      <c r="AQ53">
        <v>951.08</v>
      </c>
      <c r="AR53">
        <v>31.17</v>
      </c>
      <c r="AS53">
        <v>0</v>
      </c>
      <c r="AT53">
        <f t="shared" si="14"/>
        <v>98.7</v>
      </c>
      <c r="AU53">
        <f t="shared" si="14"/>
        <v>65</v>
      </c>
      <c r="AV53">
        <v>1</v>
      </c>
      <c r="AW53">
        <v>1</v>
      </c>
      <c r="AX53">
        <v>1</v>
      </c>
      <c r="AY53">
        <v>1</v>
      </c>
      <c r="AZ53">
        <v>5.38</v>
      </c>
      <c r="BA53">
        <v>10.54</v>
      </c>
      <c r="BB53">
        <v>5.43</v>
      </c>
      <c r="BC53">
        <v>4.55</v>
      </c>
      <c r="BH53">
        <v>0</v>
      </c>
      <c r="BI53">
        <v>1</v>
      </c>
      <c r="BJ53" t="s">
        <v>83</v>
      </c>
      <c r="BM53">
        <v>10</v>
      </c>
      <c r="BN53">
        <v>0</v>
      </c>
      <c r="BO53" t="s">
        <v>80</v>
      </c>
      <c r="BP53">
        <v>1</v>
      </c>
      <c r="BQ53">
        <v>2</v>
      </c>
      <c r="BR53">
        <v>0</v>
      </c>
      <c r="BS53">
        <v>10.54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98.7</v>
      </c>
      <c r="CA53">
        <v>65</v>
      </c>
      <c r="CF53">
        <v>0</v>
      </c>
      <c r="CG53">
        <v>0</v>
      </c>
      <c r="CM53">
        <v>0</v>
      </c>
      <c r="CO53">
        <v>0</v>
      </c>
      <c r="CP53">
        <f>(P53+Q53+S53)</f>
        <v>8644.800000000001</v>
      </c>
      <c r="CQ53">
        <f>(AC53)*BC53</f>
        <v>310159.0764999999</v>
      </c>
      <c r="CR53">
        <f>(AD53)*BB53</f>
        <v>14887.648199999998</v>
      </c>
      <c r="CS53">
        <f>(AE53)*BS53</f>
        <v>4226.2238</v>
      </c>
      <c r="CT53">
        <f>(AF53)*BA53</f>
        <v>86610.65819999999</v>
      </c>
      <c r="CU53">
        <f t="shared" si="15"/>
        <v>0</v>
      </c>
      <c r="CV53">
        <f t="shared" si="15"/>
        <v>951.08</v>
      </c>
      <c r="CW53">
        <f t="shared" si="15"/>
        <v>31.17</v>
      </c>
      <c r="CX53">
        <f t="shared" si="15"/>
        <v>0</v>
      </c>
      <c r="CY53">
        <f>(((S53+R53)*BZ53)/100)</f>
        <v>1882.7715899999998</v>
      </c>
      <c r="CZ53">
        <f>(((S53+R53)*CA53)/100)</f>
        <v>1239.9205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1007</v>
      </c>
      <c r="DV53" t="s">
        <v>82</v>
      </c>
      <c r="DW53" t="s">
        <v>84</v>
      </c>
      <c r="DX53">
        <v>100</v>
      </c>
      <c r="EE53">
        <v>5677324</v>
      </c>
      <c r="EF53">
        <v>2</v>
      </c>
      <c r="EG53" t="s">
        <v>24</v>
      </c>
      <c r="EH53">
        <v>0</v>
      </c>
      <c r="EJ53">
        <v>1</v>
      </c>
      <c r="EK53">
        <v>10</v>
      </c>
      <c r="EL53" t="s">
        <v>85</v>
      </c>
      <c r="EM53" t="s">
        <v>86</v>
      </c>
      <c r="EP53" t="s">
        <v>87</v>
      </c>
      <c r="EQ53">
        <v>0</v>
      </c>
      <c r="ER53">
        <v>146623.4</v>
      </c>
      <c r="ES53">
        <v>135664.33</v>
      </c>
      <c r="ET53">
        <v>2741.74</v>
      </c>
      <c r="EU53">
        <v>400.97</v>
      </c>
      <c r="EV53">
        <v>8217.33</v>
      </c>
      <c r="EW53">
        <v>951.08</v>
      </c>
      <c r="EX53">
        <v>31.17</v>
      </c>
    </row>
    <row r="54" spans="1:154" ht="12.75">
      <c r="A54">
        <v>18</v>
      </c>
      <c r="B54">
        <v>1</v>
      </c>
      <c r="C54">
        <v>60</v>
      </c>
      <c r="E54" t="s">
        <v>88</v>
      </c>
      <c r="F54" t="s">
        <v>89</v>
      </c>
      <c r="G54" t="s">
        <v>90</v>
      </c>
      <c r="H54" t="s">
        <v>31</v>
      </c>
      <c r="I54">
        <f>I53*J54</f>
        <v>-2.1315</v>
      </c>
      <c r="J54">
        <v>-101.5</v>
      </c>
      <c r="O54">
        <f>ROUND(CP54,2)</f>
        <v>-6449.39</v>
      </c>
      <c r="P54">
        <f>ROUND(CQ54*I54,2)</f>
        <v>-6449.39</v>
      </c>
      <c r="Q54">
        <f>ROUND(CR54*I54,2)</f>
        <v>0</v>
      </c>
      <c r="R54">
        <f>ROUND(CS54*I54,2)</f>
        <v>0</v>
      </c>
      <c r="S54">
        <f>ROUND(CT54*I54,2)</f>
        <v>0</v>
      </c>
      <c r="T54">
        <f>ROUND(CU54*I54,2)</f>
        <v>0</v>
      </c>
      <c r="U54">
        <f>CV54*I54</f>
        <v>0</v>
      </c>
      <c r="V54">
        <f>CW54*I54</f>
        <v>0</v>
      </c>
      <c r="W54">
        <f>ROUND(CX54*I54,2)</f>
        <v>0</v>
      </c>
      <c r="X54">
        <f t="shared" si="11"/>
        <v>0</v>
      </c>
      <c r="Y54">
        <f t="shared" si="11"/>
        <v>0</v>
      </c>
      <c r="AA54">
        <v>0</v>
      </c>
      <c r="AB54">
        <f>(AC54+AD54+AF54)</f>
        <v>665</v>
      </c>
      <c r="AC54">
        <f aca="true" t="shared" si="16" ref="AC54:AJ55">AL54</f>
        <v>665</v>
      </c>
      <c r="AD54">
        <f t="shared" si="16"/>
        <v>0</v>
      </c>
      <c r="AE54">
        <f t="shared" si="16"/>
        <v>0</v>
      </c>
      <c r="AF54">
        <f t="shared" si="16"/>
        <v>0</v>
      </c>
      <c r="AG54">
        <f t="shared" si="16"/>
        <v>0</v>
      </c>
      <c r="AH54">
        <f t="shared" si="16"/>
        <v>0</v>
      </c>
      <c r="AI54">
        <f t="shared" si="16"/>
        <v>0</v>
      </c>
      <c r="AJ54">
        <f t="shared" si="16"/>
        <v>0</v>
      </c>
      <c r="AK54">
        <v>665</v>
      </c>
      <c r="AL54">
        <v>665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f t="shared" si="14"/>
        <v>0</v>
      </c>
      <c r="AU54">
        <f t="shared" si="14"/>
        <v>0</v>
      </c>
      <c r="AV54">
        <v>1</v>
      </c>
      <c r="AW54">
        <v>1</v>
      </c>
      <c r="AX54">
        <v>1</v>
      </c>
      <c r="AY54">
        <v>1</v>
      </c>
      <c r="AZ54">
        <v>5.38</v>
      </c>
      <c r="BA54">
        <v>10.54</v>
      </c>
      <c r="BB54">
        <v>5.43</v>
      </c>
      <c r="BC54">
        <v>4.55</v>
      </c>
      <c r="BH54">
        <v>3</v>
      </c>
      <c r="BI54">
        <v>1</v>
      </c>
      <c r="BJ54" t="s">
        <v>91</v>
      </c>
      <c r="BM54">
        <v>1100</v>
      </c>
      <c r="BN54">
        <v>0</v>
      </c>
      <c r="BO54" t="s">
        <v>80</v>
      </c>
      <c r="BP54">
        <v>1</v>
      </c>
      <c r="BQ54">
        <v>8</v>
      </c>
      <c r="BR54">
        <v>0</v>
      </c>
      <c r="BS54">
        <v>10.54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0</v>
      </c>
      <c r="CA54">
        <v>0</v>
      </c>
      <c r="CF54">
        <v>0</v>
      </c>
      <c r="CG54">
        <v>0</v>
      </c>
      <c r="CM54">
        <v>0</v>
      </c>
      <c r="CO54">
        <v>0</v>
      </c>
      <c r="CP54">
        <f>(P54+Q54+S54)</f>
        <v>-6449.39</v>
      </c>
      <c r="CQ54">
        <f>(AC54)*BC54</f>
        <v>3025.75</v>
      </c>
      <c r="CR54">
        <f>(AD54)*BB54</f>
        <v>0</v>
      </c>
      <c r="CS54">
        <f>(AE54)*BS54</f>
        <v>0</v>
      </c>
      <c r="CT54">
        <f>(AF54)*BA54</f>
        <v>0</v>
      </c>
      <c r="CU54">
        <f t="shared" si="15"/>
        <v>0</v>
      </c>
      <c r="CV54">
        <f t="shared" si="15"/>
        <v>0</v>
      </c>
      <c r="CW54">
        <f t="shared" si="15"/>
        <v>0</v>
      </c>
      <c r="CX54">
        <f t="shared" si="15"/>
        <v>0</v>
      </c>
      <c r="CY54">
        <f>(((S54+R54)*BZ54)/100)</f>
        <v>0</v>
      </c>
      <c r="CZ54">
        <f>(((S54+R54)*CA54)/100)</f>
        <v>0</v>
      </c>
      <c r="DN54">
        <v>0</v>
      </c>
      <c r="DO54">
        <v>0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1007</v>
      </c>
      <c r="DV54" t="s">
        <v>31</v>
      </c>
      <c r="DW54" t="s">
        <v>31</v>
      </c>
      <c r="DX54">
        <v>1</v>
      </c>
      <c r="EE54">
        <v>5677405</v>
      </c>
      <c r="EF54">
        <v>8</v>
      </c>
      <c r="EG54" t="s">
        <v>44</v>
      </c>
      <c r="EH54">
        <v>0</v>
      </c>
      <c r="EJ54">
        <v>1</v>
      </c>
      <c r="EK54">
        <v>1100</v>
      </c>
      <c r="EL54" t="s">
        <v>45</v>
      </c>
      <c r="EM54" t="s">
        <v>46</v>
      </c>
      <c r="EQ54">
        <v>0</v>
      </c>
      <c r="ER54">
        <v>665</v>
      </c>
      <c r="ES54">
        <v>665</v>
      </c>
      <c r="ET54">
        <v>0</v>
      </c>
      <c r="EU54">
        <v>0</v>
      </c>
      <c r="EV54">
        <v>0</v>
      </c>
      <c r="EW54">
        <v>0</v>
      </c>
      <c r="EX54">
        <v>0</v>
      </c>
    </row>
    <row r="55" spans="1:154" ht="12.75">
      <c r="A55">
        <v>18</v>
      </c>
      <c r="B55">
        <v>1</v>
      </c>
      <c r="C55">
        <v>62</v>
      </c>
      <c r="E55" t="s">
        <v>92</v>
      </c>
      <c r="F55" t="s">
        <v>93</v>
      </c>
      <c r="G55" t="s">
        <v>94</v>
      </c>
      <c r="H55" t="s">
        <v>31</v>
      </c>
      <c r="I55">
        <f>I53*J55</f>
        <v>2.1315</v>
      </c>
      <c r="J55">
        <v>101.5</v>
      </c>
      <c r="O55">
        <f>ROUND(CP55,2)</f>
        <v>8218.91</v>
      </c>
      <c r="P55">
        <f>ROUND(CQ55*I55,2)</f>
        <v>8218.91</v>
      </c>
      <c r="Q55">
        <f>ROUND(CR55*I55,2)</f>
        <v>0</v>
      </c>
      <c r="R55">
        <f>ROUND(CS55*I55,2)</f>
        <v>0</v>
      </c>
      <c r="S55">
        <f>ROUND(CT55*I55,2)</f>
        <v>0</v>
      </c>
      <c r="T55">
        <f>ROUND(CU55*I55,2)</f>
        <v>0</v>
      </c>
      <c r="U55">
        <f>CV55*I55</f>
        <v>0</v>
      </c>
      <c r="V55">
        <f>CW55*I55</f>
        <v>0</v>
      </c>
      <c r="W55">
        <f>ROUND(CX55*I55,2)</f>
        <v>0</v>
      </c>
      <c r="X55">
        <f t="shared" si="11"/>
        <v>0</v>
      </c>
      <c r="Y55">
        <f t="shared" si="11"/>
        <v>0</v>
      </c>
      <c r="AA55">
        <v>0</v>
      </c>
      <c r="AB55">
        <f>(AC55+AD55+AF55)</f>
        <v>3855.93</v>
      </c>
      <c r="AC55">
        <f t="shared" si="16"/>
        <v>3855.93</v>
      </c>
      <c r="AD55">
        <f t="shared" si="16"/>
        <v>0</v>
      </c>
      <c r="AE55">
        <f t="shared" si="16"/>
        <v>0</v>
      </c>
      <c r="AF55">
        <f t="shared" si="16"/>
        <v>0</v>
      </c>
      <c r="AG55">
        <f t="shared" si="16"/>
        <v>0</v>
      </c>
      <c r="AH55">
        <f t="shared" si="16"/>
        <v>0</v>
      </c>
      <c r="AI55">
        <f t="shared" si="16"/>
        <v>0</v>
      </c>
      <c r="AJ55">
        <f t="shared" si="16"/>
        <v>0</v>
      </c>
      <c r="AK55">
        <v>3855.93</v>
      </c>
      <c r="AL55">
        <v>3855.93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f t="shared" si="14"/>
        <v>0</v>
      </c>
      <c r="AU55">
        <f t="shared" si="14"/>
        <v>0</v>
      </c>
      <c r="AV55">
        <v>1</v>
      </c>
      <c r="AW55">
        <v>1</v>
      </c>
      <c r="AX55">
        <v>1</v>
      </c>
      <c r="AY55">
        <v>1</v>
      </c>
      <c r="AZ55">
        <v>5.38</v>
      </c>
      <c r="BA55">
        <v>10.54</v>
      </c>
      <c r="BB55">
        <v>5.43</v>
      </c>
      <c r="BC55">
        <v>1</v>
      </c>
      <c r="BH55">
        <v>3</v>
      </c>
      <c r="BI55">
        <v>1</v>
      </c>
      <c r="BJ55" t="s">
        <v>95</v>
      </c>
      <c r="BM55">
        <v>1100</v>
      </c>
      <c r="BN55">
        <v>0</v>
      </c>
      <c r="BO55" t="s">
        <v>18</v>
      </c>
      <c r="BP55">
        <v>1</v>
      </c>
      <c r="BQ55">
        <v>8</v>
      </c>
      <c r="BR55">
        <v>0</v>
      </c>
      <c r="BS55">
        <v>10.54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0</v>
      </c>
      <c r="CA55">
        <v>0</v>
      </c>
      <c r="CF55">
        <v>0</v>
      </c>
      <c r="CG55">
        <v>0</v>
      </c>
      <c r="CM55">
        <v>0</v>
      </c>
      <c r="CO55">
        <v>0</v>
      </c>
      <c r="CP55">
        <f>(P55+Q55+S55)</f>
        <v>8218.91</v>
      </c>
      <c r="CQ55">
        <f>(AC55)*BC55</f>
        <v>3855.93</v>
      </c>
      <c r="CR55">
        <f>(AD55)*BB55</f>
        <v>0</v>
      </c>
      <c r="CS55">
        <f>(AE55)*BS55</f>
        <v>0</v>
      </c>
      <c r="CT55">
        <f>(AF55)*BA55</f>
        <v>0</v>
      </c>
      <c r="CU55">
        <f t="shared" si="15"/>
        <v>0</v>
      </c>
      <c r="CV55">
        <f t="shared" si="15"/>
        <v>0</v>
      </c>
      <c r="CW55">
        <f t="shared" si="15"/>
        <v>0</v>
      </c>
      <c r="CX55">
        <f t="shared" si="15"/>
        <v>0</v>
      </c>
      <c r="CY55">
        <f>(((S55+R55)*BZ55)/100)</f>
        <v>0</v>
      </c>
      <c r="CZ55">
        <f>(((S55+R55)*CA55)/100)</f>
        <v>0</v>
      </c>
      <c r="DN55">
        <v>0</v>
      </c>
      <c r="DO55">
        <v>0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1007</v>
      </c>
      <c r="DV55" t="s">
        <v>31</v>
      </c>
      <c r="DW55" t="s">
        <v>31</v>
      </c>
      <c r="DX55">
        <v>1</v>
      </c>
      <c r="EE55">
        <v>5677405</v>
      </c>
      <c r="EF55">
        <v>8</v>
      </c>
      <c r="EG55" t="s">
        <v>44</v>
      </c>
      <c r="EH55">
        <v>0</v>
      </c>
      <c r="EJ55">
        <v>1</v>
      </c>
      <c r="EK55">
        <v>1100</v>
      </c>
      <c r="EL55" t="s">
        <v>45</v>
      </c>
      <c r="EM55" t="s">
        <v>46</v>
      </c>
      <c r="EQ55">
        <v>0</v>
      </c>
      <c r="ER55">
        <v>720</v>
      </c>
      <c r="ES55">
        <v>3855.93</v>
      </c>
      <c r="ET55">
        <v>0</v>
      </c>
      <c r="EU55">
        <v>0</v>
      </c>
      <c r="EV55">
        <v>0</v>
      </c>
      <c r="EW55">
        <v>0</v>
      </c>
      <c r="EX55">
        <v>0</v>
      </c>
    </row>
    <row r="57" spans="1:39" ht="12.75">
      <c r="A57" s="2">
        <v>51</v>
      </c>
      <c r="B57" s="2">
        <f>B47</f>
        <v>1</v>
      </c>
      <c r="C57" s="2">
        <f>A47</f>
        <v>4</v>
      </c>
      <c r="D57" s="2">
        <f>ROW(A47)</f>
        <v>47</v>
      </c>
      <c r="E57" s="2"/>
      <c r="F57" s="2" t="str">
        <f>IF(F47&lt;&gt;"",F47,"")</f>
        <v>Новый раздел</v>
      </c>
      <c r="G57" s="2" t="str">
        <f>IF(G47&lt;&gt;"",G47,"")</f>
        <v>Стены косоуры лестниц с 1-го этажа на 2 -й и в техподполье</v>
      </c>
      <c r="H57" s="2"/>
      <c r="I57" s="2"/>
      <c r="J57" s="2"/>
      <c r="K57" s="2"/>
      <c r="L57" s="2"/>
      <c r="M57" s="2"/>
      <c r="N57" s="2"/>
      <c r="O57" s="2">
        <f aca="true" t="shared" si="17" ref="O57:Y57">ROUND(AB57,2)</f>
        <v>565452.54</v>
      </c>
      <c r="P57" s="2">
        <f t="shared" si="17"/>
        <v>473147.52</v>
      </c>
      <c r="Q57" s="2">
        <f t="shared" si="17"/>
        <v>18750.13</v>
      </c>
      <c r="R57" s="2">
        <f t="shared" si="17"/>
        <v>5309.77</v>
      </c>
      <c r="S57" s="2">
        <f t="shared" si="17"/>
        <v>73554.89</v>
      </c>
      <c r="T57" s="2">
        <f t="shared" si="17"/>
        <v>0</v>
      </c>
      <c r="U57" s="2">
        <f t="shared" si="17"/>
        <v>808.18</v>
      </c>
      <c r="V57" s="2">
        <f t="shared" si="17"/>
        <v>39.83</v>
      </c>
      <c r="W57" s="2">
        <f t="shared" si="17"/>
        <v>0</v>
      </c>
      <c r="X57" s="2">
        <f t="shared" si="17"/>
        <v>100065.92</v>
      </c>
      <c r="Y57" s="2">
        <f t="shared" si="17"/>
        <v>69207.11</v>
      </c>
      <c r="Z57" s="2"/>
      <c r="AA57" s="2"/>
      <c r="AB57" s="2">
        <f>ROUND(SUMIF(AA51:AA55,"=0",O51:O55),2)</f>
        <v>565452.54</v>
      </c>
      <c r="AC57" s="2">
        <f>ROUND(SUMIF(AA51:AA55,"=0",P51:P55),2)</f>
        <v>473147.52</v>
      </c>
      <c r="AD57" s="2">
        <f>ROUND(SUMIF(AA51:AA55,"=0",Q51:Q55),2)</f>
        <v>18750.13</v>
      </c>
      <c r="AE57" s="2">
        <f>ROUND(SUMIF(AA51:AA55,"=0",R51:R55),2)</f>
        <v>5309.77</v>
      </c>
      <c r="AF57" s="2">
        <f>ROUND(SUMIF(AA51:AA55,"=0",S51:S55),2)</f>
        <v>73554.89</v>
      </c>
      <c r="AG57" s="2">
        <f>ROUND(SUMIF(AA51:AA55,"=0",T51:T55),2)</f>
        <v>0</v>
      </c>
      <c r="AH57" s="2">
        <f>ROUND(SUMIF(AA51:AA55,"=0",U51:U55),2)</f>
        <v>808.18</v>
      </c>
      <c r="AI57" s="2">
        <f>ROUND(SUMIF(AA51:AA55,"=0",V51:V55),2)</f>
        <v>39.83</v>
      </c>
      <c r="AJ57" s="2">
        <f>ROUND(SUMIF(AA51:AA55,"=0",W51:W55),2)</f>
        <v>0</v>
      </c>
      <c r="AK57" s="2">
        <f>ROUND(SUMIF(AA51:AA55,"=0",X51:X55),2)</f>
        <v>100065.92</v>
      </c>
      <c r="AL57" s="2">
        <f>ROUND(SUMIF(AA51:AA55,"=0",Y51:Y55),2)</f>
        <v>69207.11</v>
      </c>
      <c r="AM57" s="2">
        <v>0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201</v>
      </c>
      <c r="F59" s="3">
        <f>Source!O57</f>
        <v>565452.54</v>
      </c>
      <c r="G59" s="3" t="s">
        <v>47</v>
      </c>
      <c r="H59" s="3" t="s">
        <v>48</v>
      </c>
      <c r="I59" s="3"/>
      <c r="J59" s="3"/>
      <c r="K59" s="3">
        <v>201</v>
      </c>
      <c r="L59" s="3">
        <v>1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202</v>
      </c>
      <c r="F60" s="3">
        <f>Source!P57</f>
        <v>473147.52</v>
      </c>
      <c r="G60" s="3" t="s">
        <v>49</v>
      </c>
      <c r="H60" s="3" t="s">
        <v>50</v>
      </c>
      <c r="I60" s="3"/>
      <c r="J60" s="3"/>
      <c r="K60" s="3">
        <v>202</v>
      </c>
      <c r="L60" s="3">
        <v>2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203</v>
      </c>
      <c r="F61" s="3">
        <f>Source!Q57</f>
        <v>18750.13</v>
      </c>
      <c r="G61" s="3" t="s">
        <v>51</v>
      </c>
      <c r="H61" s="3" t="s">
        <v>52</v>
      </c>
      <c r="I61" s="3"/>
      <c r="J61" s="3"/>
      <c r="K61" s="3">
        <v>203</v>
      </c>
      <c r="L61" s="3">
        <v>3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204</v>
      </c>
      <c r="F62" s="3">
        <f>Source!R57</f>
        <v>5309.77</v>
      </c>
      <c r="G62" s="3" t="s">
        <v>53</v>
      </c>
      <c r="H62" s="3" t="s">
        <v>54</v>
      </c>
      <c r="I62" s="3"/>
      <c r="J62" s="3"/>
      <c r="K62" s="3">
        <v>204</v>
      </c>
      <c r="L62" s="3">
        <v>4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205</v>
      </c>
      <c r="F63" s="3">
        <f>Source!S57</f>
        <v>73554.89</v>
      </c>
      <c r="G63" s="3" t="s">
        <v>55</v>
      </c>
      <c r="H63" s="3" t="s">
        <v>56</v>
      </c>
      <c r="I63" s="3"/>
      <c r="J63" s="3"/>
      <c r="K63" s="3">
        <v>205</v>
      </c>
      <c r="L63" s="3">
        <v>5</v>
      </c>
      <c r="M63" s="3">
        <v>3</v>
      </c>
      <c r="N63" s="3" t="s">
        <v>3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206</v>
      </c>
      <c r="F64" s="3">
        <f>Source!T57</f>
        <v>0</v>
      </c>
      <c r="G64" s="3" t="s">
        <v>57</v>
      </c>
      <c r="H64" s="3" t="s">
        <v>58</v>
      </c>
      <c r="I64" s="3"/>
      <c r="J64" s="3"/>
      <c r="K64" s="3">
        <v>206</v>
      </c>
      <c r="L64" s="3">
        <v>6</v>
      </c>
      <c r="M64" s="3">
        <v>3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207</v>
      </c>
      <c r="F65" s="3">
        <f>Source!U57</f>
        <v>808.18</v>
      </c>
      <c r="G65" s="3" t="s">
        <v>59</v>
      </c>
      <c r="H65" s="3" t="s">
        <v>60</v>
      </c>
      <c r="I65" s="3"/>
      <c r="J65" s="3"/>
      <c r="K65" s="3">
        <v>207</v>
      </c>
      <c r="L65" s="3">
        <v>7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208</v>
      </c>
      <c r="F66" s="3">
        <f>Source!V57</f>
        <v>39.83</v>
      </c>
      <c r="G66" s="3" t="s">
        <v>61</v>
      </c>
      <c r="H66" s="3" t="s">
        <v>62</v>
      </c>
      <c r="I66" s="3"/>
      <c r="J66" s="3"/>
      <c r="K66" s="3">
        <v>208</v>
      </c>
      <c r="L66" s="3">
        <v>8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209</v>
      </c>
      <c r="F67" s="3">
        <f>Source!W57</f>
        <v>0</v>
      </c>
      <c r="G67" s="3" t="s">
        <v>63</v>
      </c>
      <c r="H67" s="3" t="s">
        <v>64</v>
      </c>
      <c r="I67" s="3"/>
      <c r="J67" s="3"/>
      <c r="K67" s="3">
        <v>209</v>
      </c>
      <c r="L67" s="3">
        <v>9</v>
      </c>
      <c r="M67" s="3">
        <v>3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210</v>
      </c>
      <c r="F68" s="3">
        <f>Source!X57</f>
        <v>100065.92</v>
      </c>
      <c r="G68" s="3" t="s">
        <v>65</v>
      </c>
      <c r="H68" s="3" t="s">
        <v>66</v>
      </c>
      <c r="I68" s="3"/>
      <c r="J68" s="3"/>
      <c r="K68" s="3">
        <v>210</v>
      </c>
      <c r="L68" s="3">
        <v>10</v>
      </c>
      <c r="M68" s="3">
        <v>3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211</v>
      </c>
      <c r="F69" s="3">
        <f>Source!Y57</f>
        <v>69207.11</v>
      </c>
      <c r="G69" s="3" t="s">
        <v>67</v>
      </c>
      <c r="H69" s="3" t="s">
        <v>68</v>
      </c>
      <c r="I69" s="3"/>
      <c r="J69" s="3"/>
      <c r="K69" s="3">
        <v>211</v>
      </c>
      <c r="L69" s="3">
        <v>11</v>
      </c>
      <c r="M69" s="3">
        <v>3</v>
      </c>
      <c r="N69" s="3" t="s">
        <v>3</v>
      </c>
    </row>
    <row r="71" spans="1:39" ht="12.75">
      <c r="A71" s="2">
        <v>51</v>
      </c>
      <c r="B71" s="2">
        <f>B20</f>
        <v>1</v>
      </c>
      <c r="C71" s="2">
        <f>A20</f>
        <v>3</v>
      </c>
      <c r="D71" s="2">
        <f>ROW(A20)</f>
        <v>20</v>
      </c>
      <c r="E71" s="2"/>
      <c r="F71" s="2" t="str">
        <f>IF(F20&lt;&gt;"",F20,"")</f>
        <v>Новая локальная смета</v>
      </c>
      <c r="G71" s="2" t="str">
        <f>IF(G20&lt;&gt;"",G20,"")</f>
        <v>Новая локальная смета</v>
      </c>
      <c r="H71" s="2"/>
      <c r="I71" s="2"/>
      <c r="J71" s="2"/>
      <c r="K71" s="2"/>
      <c r="L71" s="2"/>
      <c r="M71" s="2"/>
      <c r="N71" s="2"/>
      <c r="O71" s="2">
        <f aca="true" t="shared" si="18" ref="O71:Y71">ROUND(O33+O57+AB71,2)</f>
        <v>2872804.79</v>
      </c>
      <c r="P71" s="2">
        <f t="shared" si="18"/>
        <v>2352988.44</v>
      </c>
      <c r="Q71" s="2">
        <f t="shared" si="18"/>
        <v>101643.82</v>
      </c>
      <c r="R71" s="2">
        <f t="shared" si="18"/>
        <v>29227.45</v>
      </c>
      <c r="S71" s="2">
        <f t="shared" si="18"/>
        <v>418172.53</v>
      </c>
      <c r="T71" s="2">
        <f t="shared" si="18"/>
        <v>0</v>
      </c>
      <c r="U71" s="2">
        <f t="shared" si="18"/>
        <v>4603.19</v>
      </c>
      <c r="V71" s="2">
        <f t="shared" si="18"/>
        <v>216.25</v>
      </c>
      <c r="W71" s="2">
        <f t="shared" si="18"/>
        <v>0</v>
      </c>
      <c r="X71" s="2">
        <f t="shared" si="18"/>
        <v>522702.22</v>
      </c>
      <c r="Y71" s="2">
        <f t="shared" si="18"/>
        <v>364035.37</v>
      </c>
      <c r="Z71" s="2"/>
      <c r="AA71" s="2"/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0</v>
      </c>
      <c r="F73" s="3">
        <f>Source!O71</f>
        <v>2872804.79</v>
      </c>
      <c r="G73" s="3" t="s">
        <v>47</v>
      </c>
      <c r="H73" s="3" t="s">
        <v>48</v>
      </c>
      <c r="I73" s="3"/>
      <c r="J73" s="3"/>
      <c r="K73" s="3">
        <v>201</v>
      </c>
      <c r="L73" s="3">
        <v>1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202</v>
      </c>
      <c r="F74" s="3">
        <f>Source!P71</f>
        <v>2352988.44</v>
      </c>
      <c r="G74" s="3" t="s">
        <v>49</v>
      </c>
      <c r="H74" s="3" t="s">
        <v>50</v>
      </c>
      <c r="I74" s="3"/>
      <c r="J74" s="3"/>
      <c r="K74" s="3">
        <v>202</v>
      </c>
      <c r="L74" s="3">
        <v>2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203</v>
      </c>
      <c r="F75" s="3">
        <f>Source!Q71</f>
        <v>101643.82</v>
      </c>
      <c r="G75" s="3" t="s">
        <v>51</v>
      </c>
      <c r="H75" s="3" t="s">
        <v>52</v>
      </c>
      <c r="I75" s="3"/>
      <c r="J75" s="3"/>
      <c r="K75" s="3">
        <v>203</v>
      </c>
      <c r="L75" s="3">
        <v>3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204</v>
      </c>
      <c r="F76" s="3">
        <f>Source!R71</f>
        <v>29227.45</v>
      </c>
      <c r="G76" s="3" t="s">
        <v>53</v>
      </c>
      <c r="H76" s="3" t="s">
        <v>54</v>
      </c>
      <c r="I76" s="3"/>
      <c r="J76" s="3"/>
      <c r="K76" s="3">
        <v>204</v>
      </c>
      <c r="L76" s="3">
        <v>4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0</v>
      </c>
      <c r="F77" s="3">
        <f>Source!S71</f>
        <v>418172.53</v>
      </c>
      <c r="G77" s="3" t="s">
        <v>55</v>
      </c>
      <c r="H77" s="3" t="s">
        <v>56</v>
      </c>
      <c r="I77" s="3"/>
      <c r="J77" s="3"/>
      <c r="K77" s="3">
        <v>205</v>
      </c>
      <c r="L77" s="3">
        <v>5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206</v>
      </c>
      <c r="F78" s="3">
        <f>Source!T71</f>
        <v>0</v>
      </c>
      <c r="G78" s="3" t="s">
        <v>57</v>
      </c>
      <c r="H78" s="3" t="s">
        <v>58</v>
      </c>
      <c r="I78" s="3"/>
      <c r="J78" s="3"/>
      <c r="K78" s="3">
        <v>206</v>
      </c>
      <c r="L78" s="3">
        <v>6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207</v>
      </c>
      <c r="F79" s="3">
        <f>Source!U71</f>
        <v>4603.19</v>
      </c>
      <c r="G79" s="3" t="s">
        <v>59</v>
      </c>
      <c r="H79" s="3" t="s">
        <v>60</v>
      </c>
      <c r="I79" s="3"/>
      <c r="J79" s="3"/>
      <c r="K79" s="3">
        <v>207</v>
      </c>
      <c r="L79" s="3">
        <v>7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208</v>
      </c>
      <c r="F80" s="3">
        <f>Source!V71</f>
        <v>216.25</v>
      </c>
      <c r="G80" s="3" t="s">
        <v>61</v>
      </c>
      <c r="H80" s="3" t="s">
        <v>62</v>
      </c>
      <c r="I80" s="3"/>
      <c r="J80" s="3"/>
      <c r="K80" s="3">
        <v>208</v>
      </c>
      <c r="L80" s="3">
        <v>8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209</v>
      </c>
      <c r="F81" s="3">
        <f>Source!W71</f>
        <v>0</v>
      </c>
      <c r="G81" s="3" t="s">
        <v>63</v>
      </c>
      <c r="H81" s="3" t="s">
        <v>64</v>
      </c>
      <c r="I81" s="3"/>
      <c r="J81" s="3"/>
      <c r="K81" s="3">
        <v>209</v>
      </c>
      <c r="L81" s="3">
        <v>9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0</v>
      </c>
      <c r="F82" s="3">
        <f>Source!X71</f>
        <v>522702.22</v>
      </c>
      <c r="G82" s="3" t="s">
        <v>65</v>
      </c>
      <c r="H82" s="3" t="s">
        <v>66</v>
      </c>
      <c r="I82" s="3"/>
      <c r="J82" s="3"/>
      <c r="K82" s="3">
        <v>210</v>
      </c>
      <c r="L82" s="3">
        <v>10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0</v>
      </c>
      <c r="F83" s="3">
        <f>Source!Y71</f>
        <v>364035.37</v>
      </c>
      <c r="G83" s="3" t="s">
        <v>67</v>
      </c>
      <c r="H83" s="3" t="s">
        <v>68</v>
      </c>
      <c r="I83" s="3"/>
      <c r="J83" s="3"/>
      <c r="K83" s="3">
        <v>211</v>
      </c>
      <c r="L83" s="3">
        <v>11</v>
      </c>
      <c r="M83" s="3">
        <v>3</v>
      </c>
      <c r="N83" s="3" t="s">
        <v>3</v>
      </c>
    </row>
    <row r="84" spans="1:14" ht="12.75">
      <c r="A84" s="3">
        <v>50</v>
      </c>
      <c r="B84" s="3">
        <v>1</v>
      </c>
      <c r="C84" s="3">
        <v>0</v>
      </c>
      <c r="D84" s="3">
        <v>2</v>
      </c>
      <c r="E84" s="3">
        <v>201</v>
      </c>
      <c r="F84" s="3">
        <f>ROUND(Source!F73,2)</f>
        <v>2872804.79</v>
      </c>
      <c r="G84" s="3" t="s">
        <v>96</v>
      </c>
      <c r="H84" s="3" t="s">
        <v>97</v>
      </c>
      <c r="I84" s="3"/>
      <c r="J84" s="3"/>
      <c r="K84" s="3">
        <v>212</v>
      </c>
      <c r="L84" s="3">
        <v>12</v>
      </c>
      <c r="M84" s="3">
        <v>0</v>
      </c>
      <c r="N84" s="3" t="s">
        <v>3</v>
      </c>
    </row>
    <row r="85" spans="1:14" ht="12.75">
      <c r="A85" s="3">
        <v>50</v>
      </c>
      <c r="B85" s="3">
        <v>1</v>
      </c>
      <c r="C85" s="3">
        <v>0</v>
      </c>
      <c r="D85" s="3">
        <v>2</v>
      </c>
      <c r="E85" s="3">
        <v>210</v>
      </c>
      <c r="F85" s="3">
        <f>ROUND(Source!F82,2)</f>
        <v>522702.22</v>
      </c>
      <c r="G85" s="3" t="s">
        <v>98</v>
      </c>
      <c r="H85" s="3" t="s">
        <v>99</v>
      </c>
      <c r="I85" s="3"/>
      <c r="J85" s="3"/>
      <c r="K85" s="3">
        <v>212</v>
      </c>
      <c r="L85" s="3">
        <v>13</v>
      </c>
      <c r="M85" s="3">
        <v>0</v>
      </c>
      <c r="N85" s="3" t="s">
        <v>3</v>
      </c>
    </row>
    <row r="86" spans="1:14" ht="12.75">
      <c r="A86" s="3">
        <v>50</v>
      </c>
      <c r="B86" s="3">
        <v>1</v>
      </c>
      <c r="C86" s="3">
        <v>0</v>
      </c>
      <c r="D86" s="3">
        <v>2</v>
      </c>
      <c r="E86" s="3">
        <v>211</v>
      </c>
      <c r="F86" s="3">
        <f>ROUND(Source!F83,2)</f>
        <v>364035.37</v>
      </c>
      <c r="G86" s="3" t="s">
        <v>100</v>
      </c>
      <c r="H86" s="3" t="s">
        <v>101</v>
      </c>
      <c r="I86" s="3"/>
      <c r="J86" s="3"/>
      <c r="K86" s="3">
        <v>212</v>
      </c>
      <c r="L86" s="3">
        <v>14</v>
      </c>
      <c r="M86" s="3">
        <v>0</v>
      </c>
      <c r="N86" s="3" t="s">
        <v>3</v>
      </c>
    </row>
    <row r="87" spans="1:14" ht="12.75">
      <c r="A87" s="3">
        <v>50</v>
      </c>
      <c r="B87" s="3">
        <v>1</v>
      </c>
      <c r="C87" s="3">
        <v>0</v>
      </c>
      <c r="D87" s="3">
        <v>2</v>
      </c>
      <c r="E87" s="3">
        <v>0</v>
      </c>
      <c r="F87" s="3">
        <f>ROUND(Source!F84+Source!F85+Source!F86,2)</f>
        <v>3759542.38</v>
      </c>
      <c r="G87" s="3" t="s">
        <v>102</v>
      </c>
      <c r="H87" s="3" t="s">
        <v>103</v>
      </c>
      <c r="I87" s="3"/>
      <c r="J87" s="3"/>
      <c r="K87" s="3">
        <v>212</v>
      </c>
      <c r="L87" s="3">
        <v>15</v>
      </c>
      <c r="M87" s="3">
        <v>0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2</v>
      </c>
      <c r="E88" s="3">
        <v>0</v>
      </c>
      <c r="F88" s="3">
        <f>ROUND(Source!F79+Source!F80,2)</f>
        <v>4819.44</v>
      </c>
      <c r="G88" s="3" t="s">
        <v>104</v>
      </c>
      <c r="H88" s="3" t="s">
        <v>105</v>
      </c>
      <c r="I88" s="3"/>
      <c r="J88" s="3"/>
      <c r="K88" s="3">
        <v>212</v>
      </c>
      <c r="L88" s="3">
        <v>16</v>
      </c>
      <c r="M88" s="3">
        <v>3</v>
      </c>
      <c r="N88" s="3" t="s">
        <v>3</v>
      </c>
    </row>
    <row r="89" spans="1:14" ht="12.75">
      <c r="A89" s="3">
        <v>50</v>
      </c>
      <c r="B89" s="3">
        <v>1</v>
      </c>
      <c r="C89" s="3">
        <v>0</v>
      </c>
      <c r="D89" s="3">
        <v>2</v>
      </c>
      <c r="E89" s="3">
        <v>205</v>
      </c>
      <c r="F89" s="3">
        <f>ROUND(Source!F77+Source!F76,2)</f>
        <v>447399.98</v>
      </c>
      <c r="G89" s="3" t="s">
        <v>106</v>
      </c>
      <c r="H89" s="3" t="s">
        <v>107</v>
      </c>
      <c r="I89" s="3"/>
      <c r="J89" s="3"/>
      <c r="K89" s="3">
        <v>212</v>
      </c>
      <c r="L89" s="3">
        <v>17</v>
      </c>
      <c r="M89" s="3">
        <v>0</v>
      </c>
      <c r="N89" s="3" t="s">
        <v>3</v>
      </c>
    </row>
    <row r="90" spans="1:14" ht="12.75">
      <c r="A90" s="3">
        <v>50</v>
      </c>
      <c r="B90" s="3">
        <f>IF(Source!F90&lt;&gt;0,1,0)</f>
        <v>1</v>
      </c>
      <c r="C90" s="3">
        <v>0</v>
      </c>
      <c r="D90" s="3">
        <v>2</v>
      </c>
      <c r="E90" s="3">
        <v>0</v>
      </c>
      <c r="F90" s="3">
        <v>1.2</v>
      </c>
      <c r="G90" s="3" t="s">
        <v>108</v>
      </c>
      <c r="H90" s="3" t="s">
        <v>109</v>
      </c>
      <c r="I90" s="3"/>
      <c r="J90" s="3"/>
      <c r="K90" s="3">
        <v>212</v>
      </c>
      <c r="L90" s="3">
        <v>18</v>
      </c>
      <c r="M90" s="3">
        <v>1</v>
      </c>
      <c r="N90" s="3" t="s">
        <v>110</v>
      </c>
    </row>
    <row r="91" spans="1:14" ht="12.75">
      <c r="A91" s="3">
        <v>50</v>
      </c>
      <c r="B91" s="3">
        <f>IF(Source!F91&lt;&gt;0,1,0)</f>
        <v>1</v>
      </c>
      <c r="C91" s="3">
        <v>0</v>
      </c>
      <c r="D91" s="3">
        <v>2</v>
      </c>
      <c r="E91" s="3">
        <v>0</v>
      </c>
      <c r="F91" s="3">
        <f>ROUND(IF(Source!F90&gt;0,Source!F87*(Source!F90/100+1),0),2)</f>
        <v>3804656.89</v>
      </c>
      <c r="G91" s="3" t="s">
        <v>111</v>
      </c>
      <c r="H91" s="3" t="s">
        <v>112</v>
      </c>
      <c r="I91" s="3"/>
      <c r="J91" s="3"/>
      <c r="K91" s="3">
        <v>212</v>
      </c>
      <c r="L91" s="3">
        <v>19</v>
      </c>
      <c r="M91" s="3">
        <v>1</v>
      </c>
      <c r="N91" s="3" t="s">
        <v>3</v>
      </c>
    </row>
    <row r="92" spans="1:14" ht="12.75">
      <c r="A92" s="3">
        <v>50</v>
      </c>
      <c r="B92" s="3">
        <f>IF(Source!F92&lt;&gt;0,1,0)</f>
        <v>0</v>
      </c>
      <c r="C92" s="3">
        <v>0</v>
      </c>
      <c r="D92" s="3">
        <v>2</v>
      </c>
      <c r="E92" s="3">
        <v>0</v>
      </c>
      <c r="F92" s="3">
        <v>0</v>
      </c>
      <c r="G92" s="3" t="s">
        <v>113</v>
      </c>
      <c r="H92" s="3" t="s">
        <v>114</v>
      </c>
      <c r="I92" s="3"/>
      <c r="J92" s="3"/>
      <c r="K92" s="3">
        <v>212</v>
      </c>
      <c r="L92" s="3">
        <v>20</v>
      </c>
      <c r="M92" s="3">
        <v>1</v>
      </c>
      <c r="N92" s="3" t="s">
        <v>115</v>
      </c>
    </row>
    <row r="93" spans="1:14" ht="12.75">
      <c r="A93" s="3">
        <v>50</v>
      </c>
      <c r="B93" s="3">
        <f>IF(Source!F93&lt;&gt;0,1,0)</f>
        <v>0</v>
      </c>
      <c r="C93" s="3">
        <v>0</v>
      </c>
      <c r="D93" s="3">
        <v>2</v>
      </c>
      <c r="E93" s="3">
        <v>0</v>
      </c>
      <c r="F93" s="3">
        <f>ROUND(IF(Source!F92&gt;0,IF(Source!F90&gt;0,Source!F91*(Source!F92/100+1),Source!F87*(Source!F92/100+1)),0),2)</f>
        <v>0</v>
      </c>
      <c r="G93" s="3" t="s">
        <v>116</v>
      </c>
      <c r="H93" s="3" t="s">
        <v>117</v>
      </c>
      <c r="I93" s="3"/>
      <c r="J93" s="3"/>
      <c r="K93" s="3">
        <v>212</v>
      </c>
      <c r="L93" s="3">
        <v>21</v>
      </c>
      <c r="M93" s="3">
        <v>1</v>
      </c>
      <c r="N93" s="3" t="s">
        <v>3</v>
      </c>
    </row>
    <row r="94" spans="1:14" ht="12.75">
      <c r="A94" s="3">
        <v>50</v>
      </c>
      <c r="B94" s="3">
        <v>1</v>
      </c>
      <c r="C94" s="3">
        <v>0</v>
      </c>
      <c r="D94" s="3">
        <v>2</v>
      </c>
      <c r="E94" s="3">
        <v>0</v>
      </c>
      <c r="F94" s="3">
        <f>ROUND(IF(Source!F93&gt;0,Source!F93*0.18,IF(Source!F90&gt;0,Source!F91*0.18,Source!F87*0.18)),2)</f>
        <v>684838.24</v>
      </c>
      <c r="G94" s="3" t="s">
        <v>118</v>
      </c>
      <c r="H94" s="3" t="s">
        <v>119</v>
      </c>
      <c r="I94" s="3"/>
      <c r="J94" s="3"/>
      <c r="K94" s="3">
        <v>212</v>
      </c>
      <c r="L94" s="3">
        <v>22</v>
      </c>
      <c r="M94" s="3">
        <v>0</v>
      </c>
      <c r="N94" s="3" t="s">
        <v>3</v>
      </c>
    </row>
    <row r="95" spans="1:14" ht="12.75">
      <c r="A95" s="3">
        <v>50</v>
      </c>
      <c r="B95" s="3">
        <v>1</v>
      </c>
      <c r="C95" s="3">
        <v>0</v>
      </c>
      <c r="D95" s="3">
        <v>2</v>
      </c>
      <c r="E95" s="3">
        <v>213</v>
      </c>
      <c r="F95" s="3">
        <f>ROUND(Source!F94/18*100+Source!F94,2)</f>
        <v>4489495.13</v>
      </c>
      <c r="G95" s="3" t="s">
        <v>120</v>
      </c>
      <c r="H95" s="3" t="s">
        <v>120</v>
      </c>
      <c r="I95" s="3"/>
      <c r="J95" s="3"/>
      <c r="K95" s="3">
        <v>212</v>
      </c>
      <c r="L95" s="3">
        <v>23</v>
      </c>
      <c r="M95" s="3">
        <v>0</v>
      </c>
      <c r="N95" s="3" t="s">
        <v>3</v>
      </c>
    </row>
    <row r="97" spans="1:39" ht="12.75">
      <c r="A97" s="2">
        <v>51</v>
      </c>
      <c r="B97" s="2">
        <f>B12</f>
        <v>1</v>
      </c>
      <c r="C97" s="2">
        <f>A12</f>
        <v>1</v>
      </c>
      <c r="D97" s="2">
        <f>ROW(A12)</f>
        <v>12</v>
      </c>
      <c r="E97" s="2"/>
      <c r="F97" s="2" t="str">
        <f>IF(F12&lt;&gt;"",F12,"")</f>
        <v>Новый объект</v>
      </c>
      <c r="G97" s="2" t="str">
        <f>IF(G12&lt;&gt;"",G12,"")</f>
        <v>Перегородки техподполья</v>
      </c>
      <c r="H97" s="2"/>
      <c r="I97" s="2"/>
      <c r="J97" s="2"/>
      <c r="K97" s="2"/>
      <c r="L97" s="2"/>
      <c r="M97" s="2"/>
      <c r="N97" s="2"/>
      <c r="O97" s="2">
        <f aca="true" t="shared" si="19" ref="O97:Y97">ROUND(O71,2)</f>
        <v>2872804.79</v>
      </c>
      <c r="P97" s="2">
        <f t="shared" si="19"/>
        <v>2352988.44</v>
      </c>
      <c r="Q97" s="2">
        <f t="shared" si="19"/>
        <v>101643.82</v>
      </c>
      <c r="R97" s="2">
        <f t="shared" si="19"/>
        <v>29227.45</v>
      </c>
      <c r="S97" s="2">
        <f t="shared" si="19"/>
        <v>418172.53</v>
      </c>
      <c r="T97" s="2">
        <f t="shared" si="19"/>
        <v>0</v>
      </c>
      <c r="U97" s="2">
        <f t="shared" si="19"/>
        <v>4603.19</v>
      </c>
      <c r="V97" s="2">
        <f t="shared" si="19"/>
        <v>216.25</v>
      </c>
      <c r="W97" s="2">
        <f t="shared" si="19"/>
        <v>0</v>
      </c>
      <c r="X97" s="2">
        <f t="shared" si="19"/>
        <v>522702.22</v>
      </c>
      <c r="Y97" s="2">
        <f t="shared" si="19"/>
        <v>364035.37</v>
      </c>
      <c r="Z97" s="2"/>
      <c r="AA97" s="2"/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201</v>
      </c>
      <c r="F99" s="3">
        <f>Source!O97</f>
        <v>2872804.79</v>
      </c>
      <c r="G99" s="3" t="s">
        <v>47</v>
      </c>
      <c r="H99" s="3" t="s">
        <v>48</v>
      </c>
      <c r="I99" s="3"/>
      <c r="J99" s="3"/>
      <c r="K99" s="3">
        <v>201</v>
      </c>
      <c r="L99" s="3">
        <v>1</v>
      </c>
      <c r="M99" s="3">
        <v>3</v>
      </c>
      <c r="N99" s="3" t="s">
        <v>3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202</v>
      </c>
      <c r="F100" s="3">
        <f>Source!P97</f>
        <v>2352988.44</v>
      </c>
      <c r="G100" s="3" t="s">
        <v>49</v>
      </c>
      <c r="H100" s="3" t="s">
        <v>50</v>
      </c>
      <c r="I100" s="3"/>
      <c r="J100" s="3"/>
      <c r="K100" s="3">
        <v>202</v>
      </c>
      <c r="L100" s="3">
        <v>2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203</v>
      </c>
      <c r="F101" s="3">
        <f>Source!Q97</f>
        <v>101643.82</v>
      </c>
      <c r="G101" s="3" t="s">
        <v>51</v>
      </c>
      <c r="H101" s="3" t="s">
        <v>52</v>
      </c>
      <c r="I101" s="3"/>
      <c r="J101" s="3"/>
      <c r="K101" s="3">
        <v>203</v>
      </c>
      <c r="L101" s="3">
        <v>3</v>
      </c>
      <c r="M101" s="3">
        <v>3</v>
      </c>
      <c r="N101" s="3" t="s">
        <v>3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204</v>
      </c>
      <c r="F102" s="3">
        <f>Source!R97</f>
        <v>29227.45</v>
      </c>
      <c r="G102" s="3" t="s">
        <v>53</v>
      </c>
      <c r="H102" s="3" t="s">
        <v>54</v>
      </c>
      <c r="I102" s="3"/>
      <c r="J102" s="3"/>
      <c r="K102" s="3">
        <v>204</v>
      </c>
      <c r="L102" s="3">
        <v>4</v>
      </c>
      <c r="M102" s="3">
        <v>3</v>
      </c>
      <c r="N102" s="3" t="s">
        <v>3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205</v>
      </c>
      <c r="F103" s="3">
        <f>Source!S97</f>
        <v>418172.53</v>
      </c>
      <c r="G103" s="3" t="s">
        <v>55</v>
      </c>
      <c r="H103" s="3" t="s">
        <v>56</v>
      </c>
      <c r="I103" s="3"/>
      <c r="J103" s="3"/>
      <c r="K103" s="3">
        <v>205</v>
      </c>
      <c r="L103" s="3">
        <v>5</v>
      </c>
      <c r="M103" s="3">
        <v>3</v>
      </c>
      <c r="N103" s="3" t="s">
        <v>3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206</v>
      </c>
      <c r="F104" s="3">
        <f>Source!T97</f>
        <v>0</v>
      </c>
      <c r="G104" s="3" t="s">
        <v>57</v>
      </c>
      <c r="H104" s="3" t="s">
        <v>58</v>
      </c>
      <c r="I104" s="3"/>
      <c r="J104" s="3"/>
      <c r="K104" s="3">
        <v>206</v>
      </c>
      <c r="L104" s="3">
        <v>6</v>
      </c>
      <c r="M104" s="3">
        <v>3</v>
      </c>
      <c r="N104" s="3" t="s">
        <v>3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207</v>
      </c>
      <c r="F105" s="3">
        <f>Source!U97</f>
        <v>4603.19</v>
      </c>
      <c r="G105" s="3" t="s">
        <v>59</v>
      </c>
      <c r="H105" s="3" t="s">
        <v>60</v>
      </c>
      <c r="I105" s="3"/>
      <c r="J105" s="3"/>
      <c r="K105" s="3">
        <v>207</v>
      </c>
      <c r="L105" s="3">
        <v>7</v>
      </c>
      <c r="M105" s="3">
        <v>3</v>
      </c>
      <c r="N105" s="3" t="s">
        <v>3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208</v>
      </c>
      <c r="F106" s="3">
        <f>Source!V97</f>
        <v>216.25</v>
      </c>
      <c r="G106" s="3" t="s">
        <v>61</v>
      </c>
      <c r="H106" s="3" t="s">
        <v>62</v>
      </c>
      <c r="I106" s="3"/>
      <c r="J106" s="3"/>
      <c r="K106" s="3">
        <v>208</v>
      </c>
      <c r="L106" s="3">
        <v>8</v>
      </c>
      <c r="M106" s="3">
        <v>3</v>
      </c>
      <c r="N106" s="3" t="s">
        <v>3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209</v>
      </c>
      <c r="F107" s="3">
        <f>Source!W97</f>
        <v>0</v>
      </c>
      <c r="G107" s="3" t="s">
        <v>63</v>
      </c>
      <c r="H107" s="3" t="s">
        <v>64</v>
      </c>
      <c r="I107" s="3"/>
      <c r="J107" s="3"/>
      <c r="K107" s="3">
        <v>209</v>
      </c>
      <c r="L107" s="3">
        <v>9</v>
      </c>
      <c r="M107" s="3">
        <v>3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210</v>
      </c>
      <c r="F108" s="3">
        <f>Source!X97</f>
        <v>522702.22</v>
      </c>
      <c r="G108" s="3" t="s">
        <v>65</v>
      </c>
      <c r="H108" s="3" t="s">
        <v>66</v>
      </c>
      <c r="I108" s="3"/>
      <c r="J108" s="3"/>
      <c r="K108" s="3">
        <v>210</v>
      </c>
      <c r="L108" s="3">
        <v>10</v>
      </c>
      <c r="M108" s="3">
        <v>3</v>
      </c>
      <c r="N108" s="3" t="s">
        <v>3</v>
      </c>
    </row>
    <row r="109" spans="1:14" ht="12.75">
      <c r="A109" s="3">
        <v>50</v>
      </c>
      <c r="B109" s="3">
        <v>0</v>
      </c>
      <c r="C109" s="3">
        <v>0</v>
      </c>
      <c r="D109" s="3">
        <v>1</v>
      </c>
      <c r="E109" s="3">
        <v>211</v>
      </c>
      <c r="F109" s="3">
        <f>Source!Y97</f>
        <v>364035.37</v>
      </c>
      <c r="G109" s="3" t="s">
        <v>67</v>
      </c>
      <c r="H109" s="3" t="s">
        <v>68</v>
      </c>
      <c r="I109" s="3"/>
      <c r="J109" s="3"/>
      <c r="K109" s="3">
        <v>211</v>
      </c>
      <c r="L109" s="3">
        <v>11</v>
      </c>
      <c r="M109" s="3">
        <v>3</v>
      </c>
      <c r="N109" s="3" t="s">
        <v>3</v>
      </c>
    </row>
    <row r="112" spans="1:15" ht="12.75">
      <c r="A112">
        <v>70</v>
      </c>
      <c r="B112">
        <v>1</v>
      </c>
      <c r="D112">
        <v>0</v>
      </c>
      <c r="E112" t="s">
        <v>121</v>
      </c>
      <c r="F112" t="s">
        <v>122</v>
      </c>
      <c r="G112">
        <v>1</v>
      </c>
      <c r="H112">
        <v>0.85</v>
      </c>
      <c r="I112" t="s">
        <v>123</v>
      </c>
      <c r="J112">
        <v>0</v>
      </c>
      <c r="K112">
        <v>0</v>
      </c>
      <c r="N112">
        <v>0</v>
      </c>
    </row>
    <row r="113" spans="1:15" ht="12.75">
      <c r="A113">
        <v>70</v>
      </c>
      <c r="B113">
        <v>1</v>
      </c>
      <c r="D113">
        <v>0</v>
      </c>
      <c r="E113" t="s">
        <v>124</v>
      </c>
      <c r="F113" t="s">
        <v>125</v>
      </c>
      <c r="G113">
        <v>1</v>
      </c>
      <c r="H113">
        <v>0.94</v>
      </c>
      <c r="I113" t="s">
        <v>126</v>
      </c>
      <c r="J113">
        <v>0</v>
      </c>
      <c r="K113">
        <v>0</v>
      </c>
      <c r="N113">
        <v>0</v>
      </c>
    </row>
    <row r="114" spans="1:15" ht="12.75">
      <c r="A114">
        <v>70</v>
      </c>
      <c r="B114">
        <v>1</v>
      </c>
      <c r="D114">
        <v>1</v>
      </c>
      <c r="E114" t="s">
        <v>127</v>
      </c>
      <c r="F114" t="s">
        <v>128</v>
      </c>
      <c r="G114">
        <v>1</v>
      </c>
      <c r="H114">
        <v>1</v>
      </c>
      <c r="I114" t="s">
        <v>129</v>
      </c>
      <c r="J114">
        <v>0</v>
      </c>
      <c r="K114">
        <v>0</v>
      </c>
      <c r="N114">
        <v>0</v>
      </c>
    </row>
    <row r="115" spans="1:15" ht="12.75">
      <c r="A115">
        <v>70</v>
      </c>
      <c r="B115">
        <v>1</v>
      </c>
      <c r="D115">
        <v>55</v>
      </c>
      <c r="E115" t="s">
        <v>130</v>
      </c>
      <c r="F115" t="s">
        <v>131</v>
      </c>
      <c r="G115">
        <v>1</v>
      </c>
      <c r="H115">
        <v>1</v>
      </c>
      <c r="I115" t="s">
        <v>132</v>
      </c>
      <c r="J115">
        <v>0</v>
      </c>
      <c r="K115">
        <v>0</v>
      </c>
      <c r="N115">
        <v>0</v>
      </c>
    </row>
    <row r="116" spans="1:15" ht="12.75">
      <c r="A116">
        <v>70</v>
      </c>
      <c r="B116">
        <v>1</v>
      </c>
      <c r="D116">
        <v>0</v>
      </c>
      <c r="E116" t="s">
        <v>133</v>
      </c>
      <c r="F116" t="s">
        <v>134</v>
      </c>
      <c r="G116">
        <v>0</v>
      </c>
      <c r="H116">
        <v>0</v>
      </c>
      <c r="I116" t="s">
        <v>135</v>
      </c>
      <c r="J116">
        <v>0</v>
      </c>
      <c r="K116">
        <v>0</v>
      </c>
      <c r="N116">
        <v>0</v>
      </c>
    </row>
    <row r="117" spans="1:15" ht="12.75">
      <c r="A117">
        <v>70</v>
      </c>
      <c r="B117">
        <v>1</v>
      </c>
      <c r="D117">
        <v>52</v>
      </c>
      <c r="E117" t="s">
        <v>136</v>
      </c>
      <c r="F117" t="s">
        <v>137</v>
      </c>
      <c r="G117">
        <v>1</v>
      </c>
      <c r="H117">
        <v>1</v>
      </c>
      <c r="I117" t="s">
        <v>138</v>
      </c>
      <c r="J117">
        <v>0</v>
      </c>
      <c r="K117">
        <v>0</v>
      </c>
      <c r="N117">
        <v>0</v>
      </c>
    </row>
    <row r="118" spans="1:15" ht="12.75">
      <c r="A118">
        <v>70</v>
      </c>
      <c r="B118">
        <v>1</v>
      </c>
      <c r="D118">
        <v>56</v>
      </c>
      <c r="E118" t="s">
        <v>139</v>
      </c>
      <c r="F118" t="s">
        <v>140</v>
      </c>
      <c r="G118">
        <v>1</v>
      </c>
      <c r="H118">
        <v>1</v>
      </c>
      <c r="I118" t="s">
        <v>141</v>
      </c>
      <c r="J118">
        <v>0</v>
      </c>
      <c r="K118">
        <v>0</v>
      </c>
      <c r="N118">
        <v>0</v>
      </c>
    </row>
    <row r="119" spans="1:15" ht="12.75">
      <c r="A119">
        <v>70</v>
      </c>
      <c r="B119">
        <v>1</v>
      </c>
      <c r="D119">
        <v>53</v>
      </c>
      <c r="E119" t="s">
        <v>142</v>
      </c>
      <c r="F119" t="s">
        <v>143</v>
      </c>
      <c r="G119">
        <v>0</v>
      </c>
      <c r="H119">
        <v>0</v>
      </c>
      <c r="I119" t="s">
        <v>144</v>
      </c>
      <c r="J119">
        <v>0</v>
      </c>
      <c r="K119">
        <v>0</v>
      </c>
      <c r="N119">
        <v>0</v>
      </c>
    </row>
    <row r="120" spans="1:15" ht="12.75">
      <c r="A120">
        <v>70</v>
      </c>
      <c r="B120">
        <v>1</v>
      </c>
      <c r="D120">
        <v>24</v>
      </c>
      <c r="E120" t="s">
        <v>145</v>
      </c>
      <c r="F120" t="s">
        <v>146</v>
      </c>
      <c r="G120">
        <v>1</v>
      </c>
      <c r="H120">
        <v>1.68</v>
      </c>
      <c r="I120" t="s">
        <v>147</v>
      </c>
      <c r="J120">
        <v>0</v>
      </c>
      <c r="K120">
        <v>0</v>
      </c>
      <c r="N120">
        <v>0</v>
      </c>
    </row>
    <row r="121" spans="1:15" ht="12.75">
      <c r="A121">
        <v>70</v>
      </c>
      <c r="B121">
        <v>1</v>
      </c>
      <c r="D121">
        <v>25</v>
      </c>
      <c r="E121" t="s">
        <v>148</v>
      </c>
      <c r="F121" t="s">
        <v>149</v>
      </c>
      <c r="G121">
        <v>1</v>
      </c>
      <c r="H121">
        <v>2.05</v>
      </c>
      <c r="I121" t="s">
        <v>150</v>
      </c>
      <c r="J121">
        <v>0</v>
      </c>
      <c r="K121">
        <v>0</v>
      </c>
      <c r="N121">
        <v>0</v>
      </c>
    </row>
    <row r="122" spans="1:15" ht="12.75">
      <c r="A122">
        <v>70</v>
      </c>
      <c r="B122">
        <v>1</v>
      </c>
      <c r="D122">
        <v>26</v>
      </c>
      <c r="E122" t="s">
        <v>151</v>
      </c>
      <c r="F122" t="s">
        <v>152</v>
      </c>
      <c r="G122">
        <v>1</v>
      </c>
      <c r="H122">
        <v>2.4</v>
      </c>
      <c r="I122" t="s">
        <v>153</v>
      </c>
      <c r="J122">
        <v>0</v>
      </c>
      <c r="K122">
        <v>0</v>
      </c>
      <c r="N122">
        <v>0</v>
      </c>
    </row>
    <row r="123" spans="1:15" ht="12.75">
      <c r="A123">
        <v>70</v>
      </c>
      <c r="B123">
        <v>1</v>
      </c>
      <c r="D123">
        <v>27</v>
      </c>
      <c r="E123" t="s">
        <v>154</v>
      </c>
      <c r="F123" t="s">
        <v>155</v>
      </c>
      <c r="G123">
        <v>1</v>
      </c>
      <c r="H123">
        <v>2.8</v>
      </c>
      <c r="I123" t="s">
        <v>156</v>
      </c>
      <c r="J123">
        <v>0</v>
      </c>
      <c r="K123">
        <v>0</v>
      </c>
      <c r="N123">
        <v>0</v>
      </c>
    </row>
    <row r="124" spans="1:15" ht="12.75">
      <c r="A124">
        <v>70</v>
      </c>
      <c r="B124">
        <v>1</v>
      </c>
      <c r="D124">
        <v>54</v>
      </c>
      <c r="E124" t="s">
        <v>157</v>
      </c>
      <c r="F124" t="s">
        <v>158</v>
      </c>
      <c r="G124">
        <v>0</v>
      </c>
      <c r="H124">
        <v>0</v>
      </c>
      <c r="I124" t="s">
        <v>144</v>
      </c>
      <c r="J124">
        <v>0</v>
      </c>
      <c r="K124">
        <v>0</v>
      </c>
      <c r="N124">
        <v>0</v>
      </c>
    </row>
    <row r="125" spans="1:15" ht="12.75">
      <c r="A125">
        <v>70</v>
      </c>
      <c r="B125">
        <v>1</v>
      </c>
      <c r="D125">
        <v>28</v>
      </c>
      <c r="E125" t="s">
        <v>159</v>
      </c>
      <c r="F125" t="s">
        <v>160</v>
      </c>
      <c r="G125">
        <v>1</v>
      </c>
      <c r="H125">
        <v>3</v>
      </c>
      <c r="I125" t="s">
        <v>161</v>
      </c>
      <c r="J125">
        <v>0</v>
      </c>
      <c r="K125">
        <v>0</v>
      </c>
      <c r="N125">
        <v>0</v>
      </c>
    </row>
    <row r="126" spans="1:15" ht="12.75">
      <c r="A126">
        <v>70</v>
      </c>
      <c r="B126">
        <v>1</v>
      </c>
      <c r="D126">
        <v>29</v>
      </c>
      <c r="E126" t="s">
        <v>162</v>
      </c>
      <c r="F126" t="s">
        <v>163</v>
      </c>
      <c r="G126">
        <v>1</v>
      </c>
      <c r="H126">
        <v>2</v>
      </c>
      <c r="I126" t="s">
        <v>164</v>
      </c>
      <c r="J126">
        <v>0</v>
      </c>
      <c r="K126">
        <v>0</v>
      </c>
      <c r="N126">
        <v>0</v>
      </c>
    </row>
    <row r="127" spans="1:15" ht="12.75">
      <c r="A127">
        <v>70</v>
      </c>
      <c r="B127">
        <v>1</v>
      </c>
      <c r="D127">
        <v>2</v>
      </c>
      <c r="E127" t="s">
        <v>165</v>
      </c>
      <c r="F127" t="s">
        <v>166</v>
      </c>
      <c r="G127">
        <v>1</v>
      </c>
      <c r="H127">
        <v>1.2</v>
      </c>
      <c r="I127" t="s">
        <v>167</v>
      </c>
      <c r="J127">
        <v>0</v>
      </c>
      <c r="K127">
        <v>0</v>
      </c>
      <c r="N127">
        <v>0</v>
      </c>
    </row>
    <row r="128" spans="1:15" ht="12.75">
      <c r="A128">
        <v>70</v>
      </c>
      <c r="B128">
        <v>1</v>
      </c>
      <c r="D128">
        <v>4</v>
      </c>
      <c r="E128" t="s">
        <v>168</v>
      </c>
      <c r="F128" t="s">
        <v>169</v>
      </c>
      <c r="G128">
        <v>1</v>
      </c>
      <c r="H128">
        <v>1.2</v>
      </c>
      <c r="I128" t="s">
        <v>170</v>
      </c>
      <c r="J128">
        <v>0</v>
      </c>
      <c r="K128">
        <v>0</v>
      </c>
      <c r="N128">
        <v>0</v>
      </c>
    </row>
    <row r="129" spans="1:15" ht="12.75">
      <c r="A129">
        <v>70</v>
      </c>
      <c r="B129">
        <v>1</v>
      </c>
      <c r="D129">
        <v>3</v>
      </c>
      <c r="E129" t="s">
        <v>171</v>
      </c>
      <c r="F129" t="s">
        <v>172</v>
      </c>
      <c r="G129">
        <v>1</v>
      </c>
      <c r="H129">
        <v>1.35</v>
      </c>
      <c r="I129" t="s">
        <v>173</v>
      </c>
      <c r="J129">
        <v>0</v>
      </c>
      <c r="K129">
        <v>0</v>
      </c>
      <c r="N129">
        <v>0</v>
      </c>
    </row>
    <row r="130" spans="1:15" ht="12.75">
      <c r="A130">
        <v>70</v>
      </c>
      <c r="B130">
        <v>1</v>
      </c>
      <c r="D130">
        <v>6</v>
      </c>
      <c r="E130" t="s">
        <v>174</v>
      </c>
      <c r="F130" t="s">
        <v>175</v>
      </c>
      <c r="G130">
        <v>1</v>
      </c>
      <c r="H130">
        <v>1.5</v>
      </c>
      <c r="I130" t="s">
        <v>176</v>
      </c>
      <c r="J130">
        <v>0</v>
      </c>
      <c r="K130">
        <v>0</v>
      </c>
      <c r="N130">
        <v>0</v>
      </c>
    </row>
    <row r="131" spans="1:15" ht="12.75">
      <c r="A131">
        <v>70</v>
      </c>
      <c r="B131">
        <v>1</v>
      </c>
      <c r="D131">
        <v>7</v>
      </c>
      <c r="E131" t="s">
        <v>177</v>
      </c>
      <c r="F131" t="s">
        <v>178</v>
      </c>
      <c r="G131">
        <v>1</v>
      </c>
      <c r="H131">
        <v>1.5</v>
      </c>
      <c r="I131" t="s">
        <v>179</v>
      </c>
      <c r="J131">
        <v>0</v>
      </c>
      <c r="K131">
        <v>0</v>
      </c>
      <c r="N131">
        <v>0</v>
      </c>
    </row>
    <row r="132" spans="1:15" ht="12.75">
      <c r="A132">
        <v>70</v>
      </c>
      <c r="B132">
        <v>1</v>
      </c>
      <c r="D132">
        <v>8</v>
      </c>
      <c r="E132" t="s">
        <v>180</v>
      </c>
      <c r="F132" t="s">
        <v>181</v>
      </c>
      <c r="G132">
        <v>1</v>
      </c>
      <c r="H132">
        <v>1.35</v>
      </c>
      <c r="I132" t="s">
        <v>182</v>
      </c>
      <c r="J132">
        <v>0</v>
      </c>
      <c r="K132">
        <v>0</v>
      </c>
      <c r="N132">
        <v>0</v>
      </c>
    </row>
    <row r="133" spans="1:15" ht="12.75">
      <c r="A133">
        <v>70</v>
      </c>
      <c r="B133">
        <v>1</v>
      </c>
      <c r="D133">
        <v>9</v>
      </c>
      <c r="E133" t="s">
        <v>183</v>
      </c>
      <c r="F133" t="s">
        <v>184</v>
      </c>
      <c r="G133">
        <v>1</v>
      </c>
      <c r="H133">
        <v>1.7</v>
      </c>
      <c r="I133" t="s">
        <v>185</v>
      </c>
      <c r="J133">
        <v>0</v>
      </c>
      <c r="K133">
        <v>0</v>
      </c>
      <c r="N133">
        <v>0</v>
      </c>
    </row>
    <row r="134" spans="1:15" ht="12.75">
      <c r="A134">
        <v>70</v>
      </c>
      <c r="B134">
        <v>1</v>
      </c>
      <c r="D134">
        <v>10</v>
      </c>
      <c r="E134" t="s">
        <v>186</v>
      </c>
      <c r="F134" t="s">
        <v>181</v>
      </c>
      <c r="G134">
        <v>1</v>
      </c>
      <c r="H134">
        <v>1.55</v>
      </c>
      <c r="I134" t="s">
        <v>187</v>
      </c>
      <c r="J134">
        <v>0</v>
      </c>
      <c r="K134">
        <v>0</v>
      </c>
      <c r="N134">
        <v>0</v>
      </c>
    </row>
    <row r="135" spans="1:15" ht="12.75">
      <c r="A135">
        <v>70</v>
      </c>
      <c r="B135">
        <v>1</v>
      </c>
      <c r="D135">
        <v>11</v>
      </c>
      <c r="E135" t="s">
        <v>188</v>
      </c>
      <c r="F135" t="s">
        <v>189</v>
      </c>
      <c r="G135">
        <v>1</v>
      </c>
      <c r="H135">
        <v>2.05</v>
      </c>
      <c r="I135" t="s">
        <v>190</v>
      </c>
      <c r="J135">
        <v>0</v>
      </c>
      <c r="K135">
        <v>0</v>
      </c>
      <c r="N135">
        <v>0</v>
      </c>
    </row>
    <row r="136" spans="1:15" ht="12.75">
      <c r="A136">
        <v>70</v>
      </c>
      <c r="B136">
        <v>1</v>
      </c>
      <c r="D136">
        <v>12</v>
      </c>
      <c r="E136" t="s">
        <v>191</v>
      </c>
      <c r="F136" t="s">
        <v>192</v>
      </c>
      <c r="G136">
        <v>1</v>
      </c>
      <c r="H136">
        <v>1.9</v>
      </c>
      <c r="I136" t="s">
        <v>193</v>
      </c>
      <c r="J136">
        <v>0</v>
      </c>
      <c r="K136">
        <v>0</v>
      </c>
      <c r="N136">
        <v>0</v>
      </c>
    </row>
    <row r="137" spans="1:15" ht="12.75">
      <c r="A137">
        <v>70</v>
      </c>
      <c r="B137">
        <v>1</v>
      </c>
      <c r="D137">
        <v>13</v>
      </c>
      <c r="E137" t="s">
        <v>194</v>
      </c>
      <c r="F137" t="s">
        <v>195</v>
      </c>
      <c r="G137">
        <v>1</v>
      </c>
      <c r="H137">
        <v>2.3</v>
      </c>
      <c r="I137" t="s">
        <v>196</v>
      </c>
      <c r="J137">
        <v>0</v>
      </c>
      <c r="K137">
        <v>0</v>
      </c>
      <c r="N137">
        <v>0</v>
      </c>
    </row>
    <row r="138" spans="1:15" ht="12.75">
      <c r="A138">
        <v>70</v>
      </c>
      <c r="B138">
        <v>1</v>
      </c>
      <c r="D138">
        <v>14</v>
      </c>
      <c r="E138" t="s">
        <v>197</v>
      </c>
      <c r="F138" t="s">
        <v>192</v>
      </c>
      <c r="G138">
        <v>1</v>
      </c>
      <c r="H138">
        <v>2.15</v>
      </c>
      <c r="I138" t="s">
        <v>198</v>
      </c>
      <c r="J138">
        <v>0</v>
      </c>
      <c r="K138">
        <v>0</v>
      </c>
      <c r="N138">
        <v>0</v>
      </c>
    </row>
    <row r="139" spans="1:15" ht="12.75">
      <c r="A139">
        <v>70</v>
      </c>
      <c r="B139">
        <v>1</v>
      </c>
      <c r="D139">
        <v>15</v>
      </c>
      <c r="E139" t="s">
        <v>199</v>
      </c>
      <c r="F139" t="s">
        <v>200</v>
      </c>
      <c r="G139">
        <v>1</v>
      </c>
      <c r="H139">
        <v>1.15</v>
      </c>
      <c r="I139" t="s">
        <v>201</v>
      </c>
      <c r="J139">
        <v>0</v>
      </c>
      <c r="K139">
        <v>0</v>
      </c>
      <c r="N139">
        <v>0</v>
      </c>
    </row>
    <row r="140" spans="1:15" ht="12.75">
      <c r="A140">
        <v>70</v>
      </c>
      <c r="B140">
        <v>1</v>
      </c>
      <c r="D140">
        <v>16</v>
      </c>
      <c r="E140" t="s">
        <v>202</v>
      </c>
      <c r="F140" t="s">
        <v>203</v>
      </c>
      <c r="G140">
        <v>1</v>
      </c>
      <c r="H140">
        <v>1.25</v>
      </c>
      <c r="I140" t="s">
        <v>204</v>
      </c>
      <c r="J140">
        <v>0</v>
      </c>
      <c r="K140">
        <v>0</v>
      </c>
      <c r="N140">
        <v>0</v>
      </c>
    </row>
    <row r="141" spans="1:15" ht="12.75">
      <c r="A141">
        <v>70</v>
      </c>
      <c r="B141">
        <v>1</v>
      </c>
      <c r="D141">
        <v>17</v>
      </c>
      <c r="E141" t="s">
        <v>205</v>
      </c>
      <c r="F141" t="s">
        <v>206</v>
      </c>
      <c r="G141">
        <v>1</v>
      </c>
      <c r="H141">
        <v>1.2</v>
      </c>
      <c r="I141" t="s">
        <v>207</v>
      </c>
      <c r="J141">
        <v>0</v>
      </c>
      <c r="K141">
        <v>0</v>
      </c>
      <c r="N141">
        <v>0</v>
      </c>
    </row>
    <row r="142" spans="1:15" ht="12.75">
      <c r="A142">
        <v>70</v>
      </c>
      <c r="B142">
        <v>1</v>
      </c>
      <c r="D142">
        <v>18</v>
      </c>
      <c r="E142" t="s">
        <v>208</v>
      </c>
      <c r="F142" t="s">
        <v>209</v>
      </c>
      <c r="G142">
        <v>1</v>
      </c>
      <c r="H142">
        <v>1.1</v>
      </c>
      <c r="I142" t="s">
        <v>210</v>
      </c>
      <c r="J142">
        <v>0</v>
      </c>
      <c r="K142">
        <v>0</v>
      </c>
      <c r="N142">
        <v>0</v>
      </c>
    </row>
    <row r="143" spans="1:15" ht="12.75">
      <c r="A143">
        <v>70</v>
      </c>
      <c r="B143">
        <v>1</v>
      </c>
      <c r="D143">
        <v>19</v>
      </c>
      <c r="E143" t="s">
        <v>211</v>
      </c>
      <c r="F143" t="s">
        <v>212</v>
      </c>
      <c r="G143">
        <v>1</v>
      </c>
      <c r="H143">
        <v>1.15</v>
      </c>
      <c r="I143" t="s">
        <v>213</v>
      </c>
      <c r="J143">
        <v>0</v>
      </c>
      <c r="K143">
        <v>0</v>
      </c>
      <c r="N143">
        <v>0</v>
      </c>
    </row>
    <row r="144" spans="1:15" ht="12.75">
      <c r="A144">
        <v>70</v>
      </c>
      <c r="B144">
        <v>1</v>
      </c>
      <c r="D144">
        <v>20</v>
      </c>
      <c r="E144" t="s">
        <v>214</v>
      </c>
      <c r="F144" t="s">
        <v>215</v>
      </c>
      <c r="G144">
        <v>1</v>
      </c>
      <c r="H144">
        <v>1.15</v>
      </c>
      <c r="I144" t="s">
        <v>216</v>
      </c>
      <c r="J144">
        <v>0</v>
      </c>
      <c r="K144">
        <v>0</v>
      </c>
      <c r="N144">
        <v>0</v>
      </c>
    </row>
    <row r="145" spans="1:15" ht="12.75">
      <c r="A145">
        <v>70</v>
      </c>
      <c r="B145">
        <v>1</v>
      </c>
      <c r="D145">
        <v>21</v>
      </c>
      <c r="E145" t="s">
        <v>217</v>
      </c>
      <c r="F145" t="s">
        <v>218</v>
      </c>
      <c r="G145">
        <v>1</v>
      </c>
      <c r="H145">
        <v>1.25</v>
      </c>
      <c r="I145" t="s">
        <v>219</v>
      </c>
      <c r="J145">
        <v>0</v>
      </c>
      <c r="K145">
        <v>0</v>
      </c>
      <c r="N145">
        <v>0</v>
      </c>
    </row>
    <row r="146" spans="1:15" ht="12.75">
      <c r="A146">
        <v>70</v>
      </c>
      <c r="B146">
        <v>1</v>
      </c>
      <c r="D146">
        <v>22</v>
      </c>
      <c r="E146" t="s">
        <v>220</v>
      </c>
      <c r="F146" t="s">
        <v>221</v>
      </c>
      <c r="G146">
        <v>1</v>
      </c>
      <c r="H146">
        <v>1.35</v>
      </c>
      <c r="I146" t="s">
        <v>222</v>
      </c>
      <c r="J146">
        <v>0</v>
      </c>
      <c r="K146">
        <v>0</v>
      </c>
      <c r="N146">
        <v>0</v>
      </c>
    </row>
    <row r="147" spans="1:15" ht="12.75">
      <c r="A147">
        <v>70</v>
      </c>
      <c r="B147">
        <v>1</v>
      </c>
      <c r="D147">
        <v>23</v>
      </c>
      <c r="E147" t="s">
        <v>223</v>
      </c>
      <c r="F147" t="s">
        <v>224</v>
      </c>
      <c r="G147">
        <v>1</v>
      </c>
      <c r="H147">
        <v>1.5</v>
      </c>
      <c r="I147" t="s">
        <v>225</v>
      </c>
      <c r="J147">
        <v>0</v>
      </c>
      <c r="K147">
        <v>0</v>
      </c>
      <c r="N147">
        <v>0</v>
      </c>
    </row>
    <row r="148" spans="1:15" ht="12.75">
      <c r="A148">
        <v>70</v>
      </c>
      <c r="B148">
        <v>1</v>
      </c>
      <c r="D148">
        <v>44</v>
      </c>
      <c r="E148" t="s">
        <v>226</v>
      </c>
      <c r="F148" t="s">
        <v>227</v>
      </c>
      <c r="G148">
        <v>1</v>
      </c>
      <c r="H148">
        <v>1.35</v>
      </c>
      <c r="I148" t="s">
        <v>228</v>
      </c>
      <c r="J148">
        <v>0</v>
      </c>
      <c r="K148">
        <v>0</v>
      </c>
      <c r="N148">
        <v>0</v>
      </c>
    </row>
    <row r="149" spans="1:15" ht="12.75">
      <c r="A149">
        <v>70</v>
      </c>
      <c r="B149">
        <v>1</v>
      </c>
      <c r="D149">
        <v>46</v>
      </c>
      <c r="E149" t="s">
        <v>229</v>
      </c>
      <c r="F149" t="s">
        <v>230</v>
      </c>
      <c r="G149">
        <v>0</v>
      </c>
      <c r="H149">
        <v>0</v>
      </c>
      <c r="I149" t="s">
        <v>144</v>
      </c>
      <c r="J149">
        <v>0</v>
      </c>
      <c r="K149">
        <v>0</v>
      </c>
      <c r="N149">
        <v>0</v>
      </c>
    </row>
    <row r="150" spans="1:15" ht="12.75">
      <c r="A150">
        <v>70</v>
      </c>
      <c r="B150">
        <v>1</v>
      </c>
      <c r="D150">
        <v>47</v>
      </c>
      <c r="E150" t="s">
        <v>231</v>
      </c>
      <c r="F150" t="s">
        <v>232</v>
      </c>
      <c r="G150">
        <v>1</v>
      </c>
      <c r="H150">
        <v>1.15</v>
      </c>
      <c r="I150" t="s">
        <v>233</v>
      </c>
      <c r="J150">
        <v>0</v>
      </c>
      <c r="K150">
        <v>0</v>
      </c>
      <c r="N150">
        <v>0</v>
      </c>
    </row>
    <row r="151" spans="1:15" ht="12.75">
      <c r="A151">
        <v>70</v>
      </c>
      <c r="B151">
        <v>1</v>
      </c>
      <c r="D151">
        <v>48</v>
      </c>
      <c r="E151" t="s">
        <v>234</v>
      </c>
      <c r="F151" t="s">
        <v>235</v>
      </c>
      <c r="G151">
        <v>1</v>
      </c>
      <c r="H151">
        <v>1.25</v>
      </c>
      <c r="I151" t="s">
        <v>236</v>
      </c>
      <c r="J151">
        <v>0</v>
      </c>
      <c r="K151">
        <v>0</v>
      </c>
      <c r="N151">
        <v>0</v>
      </c>
    </row>
    <row r="152" spans="1:15" ht="12.75">
      <c r="A152">
        <v>70</v>
      </c>
      <c r="B152">
        <v>1</v>
      </c>
      <c r="D152">
        <v>49</v>
      </c>
      <c r="E152" t="s">
        <v>237</v>
      </c>
      <c r="F152" t="s">
        <v>238</v>
      </c>
      <c r="G152">
        <v>1</v>
      </c>
      <c r="H152">
        <v>1.1</v>
      </c>
      <c r="I152" t="s">
        <v>239</v>
      </c>
      <c r="J152">
        <v>0</v>
      </c>
      <c r="K152">
        <v>0</v>
      </c>
      <c r="N152">
        <v>0</v>
      </c>
    </row>
    <row r="153" spans="1:15" ht="12.75">
      <c r="A153">
        <v>70</v>
      </c>
      <c r="B153">
        <v>1</v>
      </c>
      <c r="D153">
        <v>45</v>
      </c>
      <c r="E153" t="s">
        <v>240</v>
      </c>
      <c r="F153" t="s">
        <v>241</v>
      </c>
      <c r="G153">
        <v>1</v>
      </c>
      <c r="H153">
        <v>1.5</v>
      </c>
      <c r="I153" t="s">
        <v>242</v>
      </c>
      <c r="J153">
        <v>0</v>
      </c>
      <c r="K153">
        <v>0</v>
      </c>
      <c r="N153">
        <v>0</v>
      </c>
    </row>
    <row r="154" spans="1:15" ht="12.75">
      <c r="A154">
        <v>70</v>
      </c>
      <c r="B154">
        <v>1</v>
      </c>
      <c r="D154">
        <v>51</v>
      </c>
      <c r="E154" t="s">
        <v>243</v>
      </c>
      <c r="F154" t="s">
        <v>244</v>
      </c>
      <c r="G154">
        <v>1</v>
      </c>
      <c r="H154">
        <v>1.1</v>
      </c>
      <c r="I154" t="s">
        <v>245</v>
      </c>
      <c r="J154">
        <v>0</v>
      </c>
      <c r="K154">
        <v>0</v>
      </c>
      <c r="N154">
        <v>0</v>
      </c>
    </row>
    <row r="155" spans="1:15" ht="12.75">
      <c r="A155">
        <v>70</v>
      </c>
      <c r="B155">
        <v>1</v>
      </c>
      <c r="D155">
        <v>50</v>
      </c>
      <c r="E155" t="s">
        <v>246</v>
      </c>
      <c r="F155" t="s">
        <v>247</v>
      </c>
      <c r="G155">
        <v>1</v>
      </c>
      <c r="H155">
        <v>1.35</v>
      </c>
      <c r="I155" t="s">
        <v>248</v>
      </c>
      <c r="J155">
        <v>0</v>
      </c>
      <c r="K155">
        <v>0</v>
      </c>
      <c r="N155">
        <v>0</v>
      </c>
    </row>
    <row r="158" spans="1:5" ht="12.75">
      <c r="A158">
        <v>65</v>
      </c>
      <c r="C158">
        <v>1</v>
      </c>
      <c r="D158">
        <v>0</v>
      </c>
      <c r="E158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62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ROW(Source!A28)</f>
        <v>28</v>
      </c>
      <c r="B1">
        <v>8798045</v>
      </c>
      <c r="C1">
        <v>8797950</v>
      </c>
      <c r="D1">
        <v>5515297</v>
      </c>
      <c r="E1">
        <v>1</v>
      </c>
      <c r="F1">
        <v>1</v>
      </c>
      <c r="G1">
        <v>1</v>
      </c>
      <c r="H1">
        <v>1</v>
      </c>
      <c r="I1" t="s">
        <v>249</v>
      </c>
      <c r="K1" t="s">
        <v>250</v>
      </c>
      <c r="L1">
        <v>1369</v>
      </c>
      <c r="N1">
        <v>1013</v>
      </c>
      <c r="O1" t="s">
        <v>251</v>
      </c>
      <c r="P1" t="s">
        <v>251</v>
      </c>
      <c r="Q1">
        <v>1</v>
      </c>
      <c r="Y1">
        <v>170.17</v>
      </c>
      <c r="AA1">
        <v>0</v>
      </c>
      <c r="AB1">
        <v>0</v>
      </c>
      <c r="AC1">
        <v>0</v>
      </c>
      <c r="AD1">
        <v>8.53</v>
      </c>
      <c r="AN1">
        <v>0</v>
      </c>
      <c r="AO1">
        <v>1</v>
      </c>
      <c r="AP1">
        <v>1</v>
      </c>
      <c r="AQ1">
        <v>0</v>
      </c>
      <c r="AR1">
        <v>0</v>
      </c>
      <c r="AT1">
        <v>170.17</v>
      </c>
      <c r="AV1">
        <v>1</v>
      </c>
      <c r="AW1">
        <v>2</v>
      </c>
      <c r="AX1">
        <v>8798045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ROW(Source!A28)</f>
        <v>28</v>
      </c>
      <c r="B2">
        <v>8798046</v>
      </c>
      <c r="C2">
        <v>8797950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252</v>
      </c>
      <c r="L2">
        <v>608254</v>
      </c>
      <c r="N2">
        <v>1013</v>
      </c>
      <c r="O2" t="s">
        <v>253</v>
      </c>
      <c r="P2" t="s">
        <v>253</v>
      </c>
      <c r="Q2">
        <v>1</v>
      </c>
      <c r="Y2">
        <v>4.22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4.22</v>
      </c>
      <c r="AV2">
        <v>2</v>
      </c>
      <c r="AW2">
        <v>2</v>
      </c>
      <c r="AX2">
        <v>8798046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ROW(Source!A28)</f>
        <v>28</v>
      </c>
      <c r="B3">
        <v>8798047</v>
      </c>
      <c r="C3">
        <v>8797950</v>
      </c>
      <c r="D3">
        <v>5493705</v>
      </c>
      <c r="E3">
        <v>1</v>
      </c>
      <c r="F3">
        <v>1</v>
      </c>
      <c r="G3">
        <v>1</v>
      </c>
      <c r="H3">
        <v>2</v>
      </c>
      <c r="I3" t="s">
        <v>254</v>
      </c>
      <c r="J3" t="s">
        <v>255</v>
      </c>
      <c r="K3" t="s">
        <v>256</v>
      </c>
      <c r="L3">
        <v>1368</v>
      </c>
      <c r="N3">
        <v>1011</v>
      </c>
      <c r="O3" t="s">
        <v>257</v>
      </c>
      <c r="P3" t="s">
        <v>257</v>
      </c>
      <c r="Q3">
        <v>1</v>
      </c>
      <c r="Y3">
        <v>4.11</v>
      </c>
      <c r="AA3">
        <v>0</v>
      </c>
      <c r="AB3">
        <v>86.4</v>
      </c>
      <c r="AC3">
        <v>13.5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4.11</v>
      </c>
      <c r="AV3">
        <v>0</v>
      </c>
      <c r="AW3">
        <v>2</v>
      </c>
      <c r="AX3">
        <v>8798047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ROW(Source!A28)</f>
        <v>28</v>
      </c>
      <c r="B4">
        <v>8798048</v>
      </c>
      <c r="C4">
        <v>8797950</v>
      </c>
      <c r="D4">
        <v>5496870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257</v>
      </c>
      <c r="P4" t="s">
        <v>257</v>
      </c>
      <c r="Q4">
        <v>1</v>
      </c>
      <c r="Y4">
        <v>0.11</v>
      </c>
      <c r="AA4">
        <v>0</v>
      </c>
      <c r="AB4">
        <v>75.4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0.11</v>
      </c>
      <c r="AV4">
        <v>0</v>
      </c>
      <c r="AW4">
        <v>2</v>
      </c>
      <c r="AX4">
        <v>8798048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ROW(Source!A28)</f>
        <v>28</v>
      </c>
      <c r="B5">
        <v>8798049</v>
      </c>
      <c r="C5">
        <v>8797950</v>
      </c>
      <c r="D5">
        <v>5441820</v>
      </c>
      <c r="E5">
        <v>1</v>
      </c>
      <c r="F5">
        <v>1</v>
      </c>
      <c r="G5">
        <v>1</v>
      </c>
      <c r="H5">
        <v>3</v>
      </c>
      <c r="I5" t="s">
        <v>261</v>
      </c>
      <c r="J5" t="s">
        <v>262</v>
      </c>
      <c r="K5" t="s">
        <v>263</v>
      </c>
      <c r="L5">
        <v>1348</v>
      </c>
      <c r="N5">
        <v>1009</v>
      </c>
      <c r="O5" t="s">
        <v>42</v>
      </c>
      <c r="P5" t="s">
        <v>42</v>
      </c>
      <c r="Q5">
        <v>1000</v>
      </c>
      <c r="Y5">
        <v>0.0023</v>
      </c>
      <c r="AA5">
        <v>5989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0.0023</v>
      </c>
      <c r="AV5">
        <v>0</v>
      </c>
      <c r="AW5">
        <v>2</v>
      </c>
      <c r="AX5">
        <v>8798049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ROW(Source!A28)</f>
        <v>28</v>
      </c>
      <c r="B6">
        <v>8798050</v>
      </c>
      <c r="C6">
        <v>8797950</v>
      </c>
      <c r="D6">
        <v>5444409</v>
      </c>
      <c r="E6">
        <v>1</v>
      </c>
      <c r="F6">
        <v>1</v>
      </c>
      <c r="G6">
        <v>1</v>
      </c>
      <c r="H6">
        <v>3</v>
      </c>
      <c r="I6" t="s">
        <v>264</v>
      </c>
      <c r="J6" t="s">
        <v>265</v>
      </c>
      <c r="K6" t="s">
        <v>266</v>
      </c>
      <c r="L6">
        <v>1339</v>
      </c>
      <c r="N6">
        <v>1007</v>
      </c>
      <c r="O6" t="s">
        <v>31</v>
      </c>
      <c r="P6" t="s">
        <v>31</v>
      </c>
      <c r="Q6">
        <v>1</v>
      </c>
      <c r="Y6">
        <v>0.016</v>
      </c>
      <c r="AA6">
        <v>1056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0.016</v>
      </c>
      <c r="AV6">
        <v>0</v>
      </c>
      <c r="AW6">
        <v>2</v>
      </c>
      <c r="AX6">
        <v>8798050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ROW(Source!A28)</f>
        <v>28</v>
      </c>
      <c r="B7">
        <v>8798051</v>
      </c>
      <c r="C7">
        <v>8797950</v>
      </c>
      <c r="D7">
        <v>5459281</v>
      </c>
      <c r="E7">
        <v>1</v>
      </c>
      <c r="F7">
        <v>1</v>
      </c>
      <c r="G7">
        <v>1</v>
      </c>
      <c r="H7">
        <v>3</v>
      </c>
      <c r="I7" t="s">
        <v>267</v>
      </c>
      <c r="J7" t="s">
        <v>268</v>
      </c>
      <c r="K7" t="s">
        <v>269</v>
      </c>
      <c r="L7">
        <v>1348</v>
      </c>
      <c r="N7">
        <v>1009</v>
      </c>
      <c r="O7" t="s">
        <v>42</v>
      </c>
      <c r="P7" t="s">
        <v>42</v>
      </c>
      <c r="Q7">
        <v>1000</v>
      </c>
      <c r="Y7">
        <v>0.09</v>
      </c>
      <c r="AA7">
        <v>5650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0.09</v>
      </c>
      <c r="AV7">
        <v>0</v>
      </c>
      <c r="AW7">
        <v>2</v>
      </c>
      <c r="AX7">
        <v>8798051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ROW(Source!A28)</f>
        <v>28</v>
      </c>
      <c r="B8">
        <v>8798052</v>
      </c>
      <c r="C8">
        <v>8797950</v>
      </c>
      <c r="D8">
        <v>5467874</v>
      </c>
      <c r="E8">
        <v>1</v>
      </c>
      <c r="F8">
        <v>1</v>
      </c>
      <c r="G8">
        <v>1</v>
      </c>
      <c r="H8">
        <v>3</v>
      </c>
      <c r="I8" t="s">
        <v>270</v>
      </c>
      <c r="J8" t="s">
        <v>271</v>
      </c>
      <c r="K8" t="s">
        <v>272</v>
      </c>
      <c r="L8">
        <v>1339</v>
      </c>
      <c r="N8">
        <v>1007</v>
      </c>
      <c r="O8" t="s">
        <v>31</v>
      </c>
      <c r="P8" t="s">
        <v>31</v>
      </c>
      <c r="Q8">
        <v>1</v>
      </c>
      <c r="Y8">
        <v>2.3</v>
      </c>
      <c r="AA8">
        <v>497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2.3</v>
      </c>
      <c r="AV8">
        <v>0</v>
      </c>
      <c r="AW8">
        <v>2</v>
      </c>
      <c r="AX8">
        <v>8798052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ROW(Source!A28)</f>
        <v>28</v>
      </c>
      <c r="B9">
        <v>8798053</v>
      </c>
      <c r="C9">
        <v>8797950</v>
      </c>
      <c r="D9">
        <v>5468604</v>
      </c>
      <c r="E9">
        <v>1</v>
      </c>
      <c r="F9">
        <v>1</v>
      </c>
      <c r="G9">
        <v>1</v>
      </c>
      <c r="H9">
        <v>3</v>
      </c>
      <c r="I9" t="s">
        <v>273</v>
      </c>
      <c r="J9" t="s">
        <v>274</v>
      </c>
      <c r="K9" t="s">
        <v>275</v>
      </c>
      <c r="L9">
        <v>1356</v>
      </c>
      <c r="N9">
        <v>1010</v>
      </c>
      <c r="O9" t="s">
        <v>276</v>
      </c>
      <c r="P9" t="s">
        <v>276</v>
      </c>
      <c r="Q9">
        <v>1000</v>
      </c>
      <c r="Y9">
        <v>5.04</v>
      </c>
      <c r="AA9">
        <v>1752.6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5.04</v>
      </c>
      <c r="AV9">
        <v>0</v>
      </c>
      <c r="AW9">
        <v>2</v>
      </c>
      <c r="AX9">
        <v>8798053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ROW(Source!A28)</f>
        <v>28</v>
      </c>
      <c r="B10">
        <v>8798054</v>
      </c>
      <c r="C10">
        <v>8797950</v>
      </c>
      <c r="D10">
        <v>5470416</v>
      </c>
      <c r="E10">
        <v>1</v>
      </c>
      <c r="F10">
        <v>1</v>
      </c>
      <c r="G10">
        <v>1</v>
      </c>
      <c r="H10">
        <v>3</v>
      </c>
      <c r="I10" t="s">
        <v>277</v>
      </c>
      <c r="J10" t="s">
        <v>278</v>
      </c>
      <c r="K10" t="s">
        <v>279</v>
      </c>
      <c r="L10">
        <v>1339</v>
      </c>
      <c r="N10">
        <v>1007</v>
      </c>
      <c r="O10" t="s">
        <v>31</v>
      </c>
      <c r="P10" t="s">
        <v>31</v>
      </c>
      <c r="Q10">
        <v>1</v>
      </c>
      <c r="Y10">
        <v>0.3</v>
      </c>
      <c r="AA10">
        <v>2.44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0.3</v>
      </c>
      <c r="AV10">
        <v>0</v>
      </c>
      <c r="AW10">
        <v>2</v>
      </c>
      <c r="AX10">
        <v>8798054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ROW(Source!A29)</f>
        <v>29</v>
      </c>
      <c r="B11">
        <v>8798056</v>
      </c>
      <c r="C11">
        <v>8797962</v>
      </c>
      <c r="D11">
        <v>5515368</v>
      </c>
      <c r="E11">
        <v>1</v>
      </c>
      <c r="F11">
        <v>1</v>
      </c>
      <c r="G11">
        <v>1</v>
      </c>
      <c r="H11">
        <v>1</v>
      </c>
      <c r="I11" t="s">
        <v>280</v>
      </c>
      <c r="K11" t="s">
        <v>281</v>
      </c>
      <c r="L11">
        <v>1369</v>
      </c>
      <c r="N11">
        <v>1013</v>
      </c>
      <c r="O11" t="s">
        <v>251</v>
      </c>
      <c r="P11" t="s">
        <v>251</v>
      </c>
      <c r="Q11">
        <v>1</v>
      </c>
      <c r="Y11">
        <v>5.21</v>
      </c>
      <c r="AA11">
        <v>0</v>
      </c>
      <c r="AB11">
        <v>0</v>
      </c>
      <c r="AC11">
        <v>0</v>
      </c>
      <c r="AD11">
        <v>8.31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5.21</v>
      </c>
      <c r="AV11">
        <v>1</v>
      </c>
      <c r="AW11">
        <v>2</v>
      </c>
      <c r="AX11">
        <v>8798056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ROW(Source!A29)</f>
        <v>29</v>
      </c>
      <c r="B12">
        <v>8798057</v>
      </c>
      <c r="C12">
        <v>8797962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28</v>
      </c>
      <c r="K12" t="s">
        <v>252</v>
      </c>
      <c r="L12">
        <v>608254</v>
      </c>
      <c r="N12">
        <v>1013</v>
      </c>
      <c r="O12" t="s">
        <v>253</v>
      </c>
      <c r="P12" t="s">
        <v>253</v>
      </c>
      <c r="Q12">
        <v>1</v>
      </c>
      <c r="Y12">
        <v>0.4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0.4</v>
      </c>
      <c r="AV12">
        <v>2</v>
      </c>
      <c r="AW12">
        <v>2</v>
      </c>
      <c r="AX12">
        <v>8798057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ROW(Source!A29)</f>
        <v>29</v>
      </c>
      <c r="B13">
        <v>8798058</v>
      </c>
      <c r="C13">
        <v>8797962</v>
      </c>
      <c r="D13">
        <v>5493705</v>
      </c>
      <c r="E13">
        <v>1</v>
      </c>
      <c r="F13">
        <v>1</v>
      </c>
      <c r="G13">
        <v>1</v>
      </c>
      <c r="H13">
        <v>2</v>
      </c>
      <c r="I13" t="s">
        <v>254</v>
      </c>
      <c r="J13" t="s">
        <v>255</v>
      </c>
      <c r="K13" t="s">
        <v>256</v>
      </c>
      <c r="L13">
        <v>1368</v>
      </c>
      <c r="N13">
        <v>1011</v>
      </c>
      <c r="O13" t="s">
        <v>257</v>
      </c>
      <c r="P13" t="s">
        <v>257</v>
      </c>
      <c r="Q13">
        <v>1</v>
      </c>
      <c r="Y13">
        <v>0.4</v>
      </c>
      <c r="AA13">
        <v>0</v>
      </c>
      <c r="AB13">
        <v>86.4</v>
      </c>
      <c r="AC13">
        <v>13.5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0.4</v>
      </c>
      <c r="AV13">
        <v>0</v>
      </c>
      <c r="AW13">
        <v>2</v>
      </c>
      <c r="AX13">
        <v>8798058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ROW(Source!A29)</f>
        <v>29</v>
      </c>
      <c r="B14">
        <v>8798059</v>
      </c>
      <c r="C14">
        <v>8797962</v>
      </c>
      <c r="D14">
        <v>5444409</v>
      </c>
      <c r="E14">
        <v>1</v>
      </c>
      <c r="F14">
        <v>1</v>
      </c>
      <c r="G14">
        <v>1</v>
      </c>
      <c r="H14">
        <v>3</v>
      </c>
      <c r="I14" t="s">
        <v>264</v>
      </c>
      <c r="J14" t="s">
        <v>265</v>
      </c>
      <c r="K14" t="s">
        <v>266</v>
      </c>
      <c r="L14">
        <v>1339</v>
      </c>
      <c r="N14">
        <v>1007</v>
      </c>
      <c r="O14" t="s">
        <v>31</v>
      </c>
      <c r="P14" t="s">
        <v>31</v>
      </c>
      <c r="Q14">
        <v>1</v>
      </c>
      <c r="Y14">
        <v>0.0005</v>
      </c>
      <c r="AA14">
        <v>1056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0.0005</v>
      </c>
      <c r="AV14">
        <v>0</v>
      </c>
      <c r="AW14">
        <v>2</v>
      </c>
      <c r="AX14">
        <v>8798059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ROW(Source!A29)</f>
        <v>29</v>
      </c>
      <c r="B15">
        <v>8798060</v>
      </c>
      <c r="C15">
        <v>8797962</v>
      </c>
      <c r="D15">
        <v>5467875</v>
      </c>
      <c r="E15">
        <v>1</v>
      </c>
      <c r="F15">
        <v>1</v>
      </c>
      <c r="G15">
        <v>1</v>
      </c>
      <c r="H15">
        <v>3</v>
      </c>
      <c r="I15" t="s">
        <v>282</v>
      </c>
      <c r="J15" t="s">
        <v>283</v>
      </c>
      <c r="K15" t="s">
        <v>284</v>
      </c>
      <c r="L15">
        <v>1339</v>
      </c>
      <c r="N15">
        <v>1007</v>
      </c>
      <c r="O15" t="s">
        <v>31</v>
      </c>
      <c r="P15" t="s">
        <v>31</v>
      </c>
      <c r="Q15">
        <v>1</v>
      </c>
      <c r="Y15">
        <v>0.234</v>
      </c>
      <c r="AA15">
        <v>519.8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0.234</v>
      </c>
      <c r="AV15">
        <v>0</v>
      </c>
      <c r="AW15">
        <v>2</v>
      </c>
      <c r="AX15">
        <v>8798060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ROW(Source!A29)</f>
        <v>29</v>
      </c>
      <c r="B16">
        <v>8798061</v>
      </c>
      <c r="C16">
        <v>8797962</v>
      </c>
      <c r="D16">
        <v>5468604</v>
      </c>
      <c r="E16">
        <v>1</v>
      </c>
      <c r="F16">
        <v>1</v>
      </c>
      <c r="G16">
        <v>1</v>
      </c>
      <c r="H16">
        <v>3</v>
      </c>
      <c r="I16" t="s">
        <v>273</v>
      </c>
      <c r="J16" t="s">
        <v>274</v>
      </c>
      <c r="K16" t="s">
        <v>275</v>
      </c>
      <c r="L16">
        <v>1356</v>
      </c>
      <c r="N16">
        <v>1010</v>
      </c>
      <c r="O16" t="s">
        <v>276</v>
      </c>
      <c r="P16" t="s">
        <v>276</v>
      </c>
      <c r="Q16">
        <v>1000</v>
      </c>
      <c r="Y16">
        <v>0.395</v>
      </c>
      <c r="AA16">
        <v>1752.6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0.395</v>
      </c>
      <c r="AV16">
        <v>0</v>
      </c>
      <c r="AW16">
        <v>2</v>
      </c>
      <c r="AX16">
        <v>8798061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ROW(Source!A29)</f>
        <v>29</v>
      </c>
      <c r="B17">
        <v>8798062</v>
      </c>
      <c r="C17">
        <v>8797962</v>
      </c>
      <c r="D17">
        <v>5470416</v>
      </c>
      <c r="E17">
        <v>1</v>
      </c>
      <c r="F17">
        <v>1</v>
      </c>
      <c r="G17">
        <v>1</v>
      </c>
      <c r="H17">
        <v>3</v>
      </c>
      <c r="I17" t="s">
        <v>277</v>
      </c>
      <c r="J17" t="s">
        <v>278</v>
      </c>
      <c r="K17" t="s">
        <v>279</v>
      </c>
      <c r="L17">
        <v>1339</v>
      </c>
      <c r="N17">
        <v>1007</v>
      </c>
      <c r="O17" t="s">
        <v>31</v>
      </c>
      <c r="P17" t="s">
        <v>31</v>
      </c>
      <c r="Q17">
        <v>1</v>
      </c>
      <c r="Y17">
        <v>0.44</v>
      </c>
      <c r="AA17">
        <v>2.44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0.44</v>
      </c>
      <c r="AV17">
        <v>0</v>
      </c>
      <c r="AW17">
        <v>2</v>
      </c>
      <c r="AX17">
        <v>8798062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ROW(Source!A30)</f>
        <v>30</v>
      </c>
      <c r="B18">
        <v>8798066</v>
      </c>
      <c r="C18">
        <v>8797988</v>
      </c>
      <c r="D18">
        <v>5514105</v>
      </c>
      <c r="E18">
        <v>1</v>
      </c>
      <c r="F18">
        <v>1</v>
      </c>
      <c r="G18">
        <v>1</v>
      </c>
      <c r="H18">
        <v>1</v>
      </c>
      <c r="I18" t="s">
        <v>285</v>
      </c>
      <c r="K18" t="s">
        <v>286</v>
      </c>
      <c r="L18">
        <v>1369</v>
      </c>
      <c r="N18">
        <v>1013</v>
      </c>
      <c r="O18" t="s">
        <v>251</v>
      </c>
      <c r="P18" t="s">
        <v>251</v>
      </c>
      <c r="Q18">
        <v>1</v>
      </c>
      <c r="Y18">
        <v>100.71</v>
      </c>
      <c r="AA18">
        <v>0</v>
      </c>
      <c r="AB18">
        <v>0</v>
      </c>
      <c r="AC18">
        <v>0</v>
      </c>
      <c r="AD18">
        <v>9.41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100.71</v>
      </c>
      <c r="AV18">
        <v>1</v>
      </c>
      <c r="AW18">
        <v>2</v>
      </c>
      <c r="AX18">
        <v>8798066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ROW(Source!A30)</f>
        <v>30</v>
      </c>
      <c r="B19">
        <v>8798067</v>
      </c>
      <c r="C19">
        <v>8797988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28</v>
      </c>
      <c r="K19" t="s">
        <v>252</v>
      </c>
      <c r="L19">
        <v>608254</v>
      </c>
      <c r="N19">
        <v>1013</v>
      </c>
      <c r="O19" t="s">
        <v>253</v>
      </c>
      <c r="P19" t="s">
        <v>253</v>
      </c>
      <c r="Q19">
        <v>1</v>
      </c>
      <c r="Y19">
        <v>2.94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2.94</v>
      </c>
      <c r="AV19">
        <v>2</v>
      </c>
      <c r="AW19">
        <v>2</v>
      </c>
      <c r="AX19">
        <v>8798067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ROW(Source!A30)</f>
        <v>30</v>
      </c>
      <c r="B20">
        <v>8798068</v>
      </c>
      <c r="C20">
        <v>8797988</v>
      </c>
      <c r="D20">
        <v>5493705</v>
      </c>
      <c r="E20">
        <v>1</v>
      </c>
      <c r="F20">
        <v>1</v>
      </c>
      <c r="G20">
        <v>1</v>
      </c>
      <c r="H20">
        <v>2</v>
      </c>
      <c r="I20" t="s">
        <v>254</v>
      </c>
      <c r="J20" t="s">
        <v>255</v>
      </c>
      <c r="K20" t="s">
        <v>256</v>
      </c>
      <c r="L20">
        <v>1368</v>
      </c>
      <c r="N20">
        <v>1011</v>
      </c>
      <c r="O20" t="s">
        <v>257</v>
      </c>
      <c r="P20" t="s">
        <v>257</v>
      </c>
      <c r="Q20">
        <v>1</v>
      </c>
      <c r="Y20">
        <v>1.95</v>
      </c>
      <c r="AA20">
        <v>0</v>
      </c>
      <c r="AB20">
        <v>86.4</v>
      </c>
      <c r="AC20">
        <v>13.5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1.95</v>
      </c>
      <c r="AV20">
        <v>0</v>
      </c>
      <c r="AW20">
        <v>2</v>
      </c>
      <c r="AX20">
        <v>8798068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ROW(Source!A30)</f>
        <v>30</v>
      </c>
      <c r="B21">
        <v>8798069</v>
      </c>
      <c r="C21">
        <v>8797988</v>
      </c>
      <c r="D21">
        <v>5496870</v>
      </c>
      <c r="E21">
        <v>1</v>
      </c>
      <c r="F21">
        <v>1</v>
      </c>
      <c r="G21">
        <v>1</v>
      </c>
      <c r="H21">
        <v>2</v>
      </c>
      <c r="I21" t="s">
        <v>258</v>
      </c>
      <c r="J21" t="s">
        <v>259</v>
      </c>
      <c r="K21" t="s">
        <v>260</v>
      </c>
      <c r="L21">
        <v>1368</v>
      </c>
      <c r="N21">
        <v>1011</v>
      </c>
      <c r="O21" t="s">
        <v>257</v>
      </c>
      <c r="P21" t="s">
        <v>257</v>
      </c>
      <c r="Q21">
        <v>1</v>
      </c>
      <c r="Y21">
        <v>0.99</v>
      </c>
      <c r="AA21">
        <v>0</v>
      </c>
      <c r="AB21">
        <v>75.4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0.99</v>
      </c>
      <c r="AV21">
        <v>0</v>
      </c>
      <c r="AW21">
        <v>2</v>
      </c>
      <c r="AX21">
        <v>8798069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ROW(Source!A30)</f>
        <v>30</v>
      </c>
      <c r="B22">
        <v>8798070</v>
      </c>
      <c r="C22">
        <v>8797988</v>
      </c>
      <c r="D22">
        <v>5441801</v>
      </c>
      <c r="E22">
        <v>1</v>
      </c>
      <c r="F22">
        <v>1</v>
      </c>
      <c r="G22">
        <v>1</v>
      </c>
      <c r="H22">
        <v>3</v>
      </c>
      <c r="I22" t="s">
        <v>287</v>
      </c>
      <c r="J22" t="s">
        <v>288</v>
      </c>
      <c r="K22" t="s">
        <v>289</v>
      </c>
      <c r="L22">
        <v>1327</v>
      </c>
      <c r="N22">
        <v>1005</v>
      </c>
      <c r="O22" t="s">
        <v>290</v>
      </c>
      <c r="P22" t="s">
        <v>290</v>
      </c>
      <c r="Q22">
        <v>1</v>
      </c>
      <c r="Y22">
        <v>101.2</v>
      </c>
      <c r="AA22">
        <v>245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101.2</v>
      </c>
      <c r="AV22">
        <v>0</v>
      </c>
      <c r="AW22">
        <v>2</v>
      </c>
      <c r="AX22">
        <v>8798070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ROW(Source!A30)</f>
        <v>30</v>
      </c>
      <c r="B23">
        <v>8798071</v>
      </c>
      <c r="C23">
        <v>8797988</v>
      </c>
      <c r="D23">
        <v>5443477</v>
      </c>
      <c r="E23">
        <v>1</v>
      </c>
      <c r="F23">
        <v>1</v>
      </c>
      <c r="G23">
        <v>1</v>
      </c>
      <c r="H23">
        <v>3</v>
      </c>
      <c r="I23" t="s">
        <v>291</v>
      </c>
      <c r="J23" t="s">
        <v>292</v>
      </c>
      <c r="K23" t="s">
        <v>293</v>
      </c>
      <c r="L23">
        <v>1348</v>
      </c>
      <c r="N23">
        <v>1009</v>
      </c>
      <c r="O23" t="s">
        <v>42</v>
      </c>
      <c r="P23" t="s">
        <v>42</v>
      </c>
      <c r="Q23">
        <v>1000</v>
      </c>
      <c r="Y23">
        <v>0.18</v>
      </c>
      <c r="AA23">
        <v>13560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0.18</v>
      </c>
      <c r="AV23">
        <v>0</v>
      </c>
      <c r="AW23">
        <v>2</v>
      </c>
      <c r="AX23">
        <v>8798071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ROW(Source!A30)</f>
        <v>30</v>
      </c>
      <c r="B24">
        <v>8798074</v>
      </c>
      <c r="C24">
        <v>8797988</v>
      </c>
      <c r="D24">
        <v>7307697</v>
      </c>
      <c r="E24">
        <v>1</v>
      </c>
      <c r="F24">
        <v>1</v>
      </c>
      <c r="G24">
        <v>1</v>
      </c>
      <c r="H24">
        <v>3</v>
      </c>
      <c r="I24" t="s">
        <v>40</v>
      </c>
      <c r="J24" t="s">
        <v>43</v>
      </c>
      <c r="K24" t="s">
        <v>41</v>
      </c>
      <c r="L24">
        <v>1348</v>
      </c>
      <c r="N24">
        <v>1009</v>
      </c>
      <c r="O24" t="s">
        <v>42</v>
      </c>
      <c r="P24" t="s">
        <v>42</v>
      </c>
      <c r="Q24">
        <v>1000</v>
      </c>
      <c r="Y24">
        <v>0.221623</v>
      </c>
      <c r="AA24">
        <v>8212.72</v>
      </c>
      <c r="AB24">
        <v>0</v>
      </c>
      <c r="AC24">
        <v>0</v>
      </c>
      <c r="AD24">
        <v>0</v>
      </c>
      <c r="AN24">
        <v>0</v>
      </c>
      <c r="AO24">
        <v>0</v>
      </c>
      <c r="AP24">
        <v>2</v>
      </c>
      <c r="AQ24">
        <v>0</v>
      </c>
      <c r="AR24">
        <v>0</v>
      </c>
      <c r="AT24">
        <v>0.221623</v>
      </c>
      <c r="AV24">
        <v>0</v>
      </c>
      <c r="AW24">
        <v>1</v>
      </c>
      <c r="AX24">
        <v>-1</v>
      </c>
      <c r="AY24">
        <v>0</v>
      </c>
      <c r="AZ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ROW(Source!A30)</f>
        <v>30</v>
      </c>
      <c r="B25">
        <v>8798072</v>
      </c>
      <c r="C25">
        <v>8797988</v>
      </c>
      <c r="D25">
        <v>5447295</v>
      </c>
      <c r="E25">
        <v>1</v>
      </c>
      <c r="F25">
        <v>1</v>
      </c>
      <c r="G25">
        <v>1</v>
      </c>
      <c r="H25">
        <v>3</v>
      </c>
      <c r="I25" t="s">
        <v>294</v>
      </c>
      <c r="J25" t="s">
        <v>295</v>
      </c>
      <c r="K25" t="s">
        <v>296</v>
      </c>
      <c r="L25">
        <v>1327</v>
      </c>
      <c r="N25">
        <v>1005</v>
      </c>
      <c r="O25" t="s">
        <v>290</v>
      </c>
      <c r="P25" t="s">
        <v>290</v>
      </c>
      <c r="Q25">
        <v>1</v>
      </c>
      <c r="Y25">
        <v>7.2</v>
      </c>
      <c r="AA25">
        <v>149.56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7.2</v>
      </c>
      <c r="AV25">
        <v>0</v>
      </c>
      <c r="AW25">
        <v>2</v>
      </c>
      <c r="AX25">
        <v>8798072</v>
      </c>
      <c r="AY25">
        <v>1</v>
      </c>
      <c r="AZ25">
        <v>0</v>
      </c>
      <c r="BA25">
        <v>24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ROW(Source!A30)</f>
        <v>30</v>
      </c>
      <c r="B26">
        <v>8798073</v>
      </c>
      <c r="C26">
        <v>8797988</v>
      </c>
      <c r="D26">
        <v>5470416</v>
      </c>
      <c r="E26">
        <v>1</v>
      </c>
      <c r="F26">
        <v>1</v>
      </c>
      <c r="G26">
        <v>1</v>
      </c>
      <c r="H26">
        <v>3</v>
      </c>
      <c r="I26" t="s">
        <v>277</v>
      </c>
      <c r="J26" t="s">
        <v>278</v>
      </c>
      <c r="K26" t="s">
        <v>279</v>
      </c>
      <c r="L26">
        <v>1339</v>
      </c>
      <c r="N26">
        <v>1007</v>
      </c>
      <c r="O26" t="s">
        <v>31</v>
      </c>
      <c r="P26" t="s">
        <v>31</v>
      </c>
      <c r="Q26">
        <v>1</v>
      </c>
      <c r="Y26">
        <v>0.075</v>
      </c>
      <c r="AA26">
        <v>2.44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0.075</v>
      </c>
      <c r="AV26">
        <v>0</v>
      </c>
      <c r="AW26">
        <v>2</v>
      </c>
      <c r="AX26">
        <v>8798073</v>
      </c>
      <c r="AY26">
        <v>1</v>
      </c>
      <c r="AZ26">
        <v>0</v>
      </c>
      <c r="BA26">
        <v>25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ROW(Source!A51)</f>
        <v>51</v>
      </c>
      <c r="B27">
        <v>8798077</v>
      </c>
      <c r="C27">
        <v>8798027</v>
      </c>
      <c r="D27">
        <v>5515368</v>
      </c>
      <c r="E27">
        <v>1</v>
      </c>
      <c r="F27">
        <v>1</v>
      </c>
      <c r="G27">
        <v>1</v>
      </c>
      <c r="H27">
        <v>1</v>
      </c>
      <c r="I27" t="s">
        <v>280</v>
      </c>
      <c r="K27" t="s">
        <v>281</v>
      </c>
      <c r="L27">
        <v>1369</v>
      </c>
      <c r="N27">
        <v>1013</v>
      </c>
      <c r="O27" t="s">
        <v>251</v>
      </c>
      <c r="P27" t="s">
        <v>251</v>
      </c>
      <c r="Q27">
        <v>1</v>
      </c>
      <c r="Y27">
        <v>5.21</v>
      </c>
      <c r="AA27">
        <v>0</v>
      </c>
      <c r="AB27">
        <v>0</v>
      </c>
      <c r="AC27">
        <v>0</v>
      </c>
      <c r="AD27">
        <v>8.31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5.21</v>
      </c>
      <c r="AV27">
        <v>1</v>
      </c>
      <c r="AW27">
        <v>2</v>
      </c>
      <c r="AX27">
        <v>8798077</v>
      </c>
      <c r="AY27">
        <v>1</v>
      </c>
      <c r="AZ27">
        <v>0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ROW(Source!A51)</f>
        <v>51</v>
      </c>
      <c r="B28">
        <v>8798078</v>
      </c>
      <c r="C28">
        <v>8798027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28</v>
      </c>
      <c r="K28" t="s">
        <v>252</v>
      </c>
      <c r="L28">
        <v>608254</v>
      </c>
      <c r="N28">
        <v>1013</v>
      </c>
      <c r="O28" t="s">
        <v>253</v>
      </c>
      <c r="P28" t="s">
        <v>253</v>
      </c>
      <c r="Q28">
        <v>1</v>
      </c>
      <c r="Y28">
        <v>0.4</v>
      </c>
      <c r="AA28">
        <v>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0.4</v>
      </c>
      <c r="AV28">
        <v>2</v>
      </c>
      <c r="AW28">
        <v>2</v>
      </c>
      <c r="AX28">
        <v>8798078</v>
      </c>
      <c r="AY28">
        <v>1</v>
      </c>
      <c r="AZ28">
        <v>0</v>
      </c>
      <c r="BA28">
        <v>27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ROW(Source!A51)</f>
        <v>51</v>
      </c>
      <c r="B29">
        <v>8798079</v>
      </c>
      <c r="C29">
        <v>8798027</v>
      </c>
      <c r="D29">
        <v>5493705</v>
      </c>
      <c r="E29">
        <v>1</v>
      </c>
      <c r="F29">
        <v>1</v>
      </c>
      <c r="G29">
        <v>1</v>
      </c>
      <c r="H29">
        <v>2</v>
      </c>
      <c r="I29" t="s">
        <v>254</v>
      </c>
      <c r="J29" t="s">
        <v>255</v>
      </c>
      <c r="K29" t="s">
        <v>256</v>
      </c>
      <c r="L29">
        <v>1368</v>
      </c>
      <c r="N29">
        <v>1011</v>
      </c>
      <c r="O29" t="s">
        <v>257</v>
      </c>
      <c r="P29" t="s">
        <v>257</v>
      </c>
      <c r="Q29">
        <v>1</v>
      </c>
      <c r="Y29">
        <v>0.4</v>
      </c>
      <c r="AA29">
        <v>0</v>
      </c>
      <c r="AB29">
        <v>86.4</v>
      </c>
      <c r="AC29">
        <v>13.5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0.4</v>
      </c>
      <c r="AV29">
        <v>0</v>
      </c>
      <c r="AW29">
        <v>2</v>
      </c>
      <c r="AX29">
        <v>8798079</v>
      </c>
      <c r="AY29">
        <v>1</v>
      </c>
      <c r="AZ29">
        <v>0</v>
      </c>
      <c r="BA29">
        <v>28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ROW(Source!A51)</f>
        <v>51</v>
      </c>
      <c r="B30">
        <v>8798080</v>
      </c>
      <c r="C30">
        <v>8798027</v>
      </c>
      <c r="D30">
        <v>5444409</v>
      </c>
      <c r="E30">
        <v>1</v>
      </c>
      <c r="F30">
        <v>1</v>
      </c>
      <c r="G30">
        <v>1</v>
      </c>
      <c r="H30">
        <v>3</v>
      </c>
      <c r="I30" t="s">
        <v>264</v>
      </c>
      <c r="J30" t="s">
        <v>265</v>
      </c>
      <c r="K30" t="s">
        <v>266</v>
      </c>
      <c r="L30">
        <v>1339</v>
      </c>
      <c r="N30">
        <v>1007</v>
      </c>
      <c r="O30" t="s">
        <v>31</v>
      </c>
      <c r="P30" t="s">
        <v>31</v>
      </c>
      <c r="Q30">
        <v>1</v>
      </c>
      <c r="Y30">
        <v>0.0005</v>
      </c>
      <c r="AA30">
        <v>1056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0.0005</v>
      </c>
      <c r="AV30">
        <v>0</v>
      </c>
      <c r="AW30">
        <v>2</v>
      </c>
      <c r="AX30">
        <v>8798080</v>
      </c>
      <c r="AY30">
        <v>1</v>
      </c>
      <c r="AZ30">
        <v>0</v>
      </c>
      <c r="BA30">
        <v>29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ROW(Source!A51)</f>
        <v>51</v>
      </c>
      <c r="B31">
        <v>8798081</v>
      </c>
      <c r="C31">
        <v>8798027</v>
      </c>
      <c r="D31">
        <v>5467875</v>
      </c>
      <c r="E31">
        <v>1</v>
      </c>
      <c r="F31">
        <v>1</v>
      </c>
      <c r="G31">
        <v>1</v>
      </c>
      <c r="H31">
        <v>3</v>
      </c>
      <c r="I31" t="s">
        <v>282</v>
      </c>
      <c r="J31" t="s">
        <v>283</v>
      </c>
      <c r="K31" t="s">
        <v>284</v>
      </c>
      <c r="L31">
        <v>1339</v>
      </c>
      <c r="N31">
        <v>1007</v>
      </c>
      <c r="O31" t="s">
        <v>31</v>
      </c>
      <c r="P31" t="s">
        <v>31</v>
      </c>
      <c r="Q31">
        <v>1</v>
      </c>
      <c r="Y31">
        <v>0.234</v>
      </c>
      <c r="AA31">
        <v>519.8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0.234</v>
      </c>
      <c r="AV31">
        <v>0</v>
      </c>
      <c r="AW31">
        <v>2</v>
      </c>
      <c r="AX31">
        <v>8798081</v>
      </c>
      <c r="AY31">
        <v>1</v>
      </c>
      <c r="AZ31">
        <v>0</v>
      </c>
      <c r="BA31">
        <v>30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ROW(Source!A51)</f>
        <v>51</v>
      </c>
      <c r="B32">
        <v>8798082</v>
      </c>
      <c r="C32">
        <v>8798027</v>
      </c>
      <c r="D32">
        <v>5468604</v>
      </c>
      <c r="E32">
        <v>1</v>
      </c>
      <c r="F32">
        <v>1</v>
      </c>
      <c r="G32">
        <v>1</v>
      </c>
      <c r="H32">
        <v>3</v>
      </c>
      <c r="I32" t="s">
        <v>273</v>
      </c>
      <c r="J32" t="s">
        <v>274</v>
      </c>
      <c r="K32" t="s">
        <v>275</v>
      </c>
      <c r="L32">
        <v>1356</v>
      </c>
      <c r="N32">
        <v>1010</v>
      </c>
      <c r="O32" t="s">
        <v>276</v>
      </c>
      <c r="P32" t="s">
        <v>276</v>
      </c>
      <c r="Q32">
        <v>1000</v>
      </c>
      <c r="Y32">
        <v>0.395</v>
      </c>
      <c r="AA32">
        <v>1752.6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0.395</v>
      </c>
      <c r="AV32">
        <v>0</v>
      </c>
      <c r="AW32">
        <v>2</v>
      </c>
      <c r="AX32">
        <v>8798082</v>
      </c>
      <c r="AY32">
        <v>1</v>
      </c>
      <c r="AZ32">
        <v>0</v>
      </c>
      <c r="BA32">
        <v>31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ROW(Source!A51)</f>
        <v>51</v>
      </c>
      <c r="B33">
        <v>8798083</v>
      </c>
      <c r="C33">
        <v>8798027</v>
      </c>
      <c r="D33">
        <v>5470416</v>
      </c>
      <c r="E33">
        <v>1</v>
      </c>
      <c r="F33">
        <v>1</v>
      </c>
      <c r="G33">
        <v>1</v>
      </c>
      <c r="H33">
        <v>3</v>
      </c>
      <c r="I33" t="s">
        <v>277</v>
      </c>
      <c r="J33" t="s">
        <v>278</v>
      </c>
      <c r="K33" t="s">
        <v>279</v>
      </c>
      <c r="L33">
        <v>1339</v>
      </c>
      <c r="N33">
        <v>1007</v>
      </c>
      <c r="O33" t="s">
        <v>31</v>
      </c>
      <c r="P33" t="s">
        <v>31</v>
      </c>
      <c r="Q33">
        <v>1</v>
      </c>
      <c r="Y33">
        <v>0.44</v>
      </c>
      <c r="AA33">
        <v>2.44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0.44</v>
      </c>
      <c r="AV33">
        <v>0</v>
      </c>
      <c r="AW33">
        <v>2</v>
      </c>
      <c r="AX33">
        <v>8798083</v>
      </c>
      <c r="AY33">
        <v>1</v>
      </c>
      <c r="AZ33">
        <v>0</v>
      </c>
      <c r="BA33">
        <v>32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ROW(Source!A52)</f>
        <v>52</v>
      </c>
      <c r="B34">
        <v>8798084</v>
      </c>
      <c r="C34">
        <v>8798036</v>
      </c>
      <c r="D34">
        <v>5514154</v>
      </c>
      <c r="E34">
        <v>1</v>
      </c>
      <c r="F34">
        <v>1</v>
      </c>
      <c r="G34">
        <v>1</v>
      </c>
      <c r="H34">
        <v>1</v>
      </c>
      <c r="I34" t="s">
        <v>297</v>
      </c>
      <c r="K34" t="s">
        <v>298</v>
      </c>
      <c r="L34">
        <v>1369</v>
      </c>
      <c r="N34">
        <v>1013</v>
      </c>
      <c r="O34" t="s">
        <v>251</v>
      </c>
      <c r="P34" t="s">
        <v>251</v>
      </c>
      <c r="Q34">
        <v>1</v>
      </c>
      <c r="Y34">
        <v>117.72</v>
      </c>
      <c r="AA34">
        <v>0</v>
      </c>
      <c r="AB34">
        <v>0</v>
      </c>
      <c r="AC34">
        <v>0</v>
      </c>
      <c r="AD34">
        <v>9.08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117.72</v>
      </c>
      <c r="AV34">
        <v>1</v>
      </c>
      <c r="AW34">
        <v>2</v>
      </c>
      <c r="AX34">
        <v>8798084</v>
      </c>
      <c r="AY34">
        <v>1</v>
      </c>
      <c r="AZ34">
        <v>0</v>
      </c>
      <c r="BA34">
        <v>33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ROW(Source!A52)</f>
        <v>52</v>
      </c>
      <c r="B35">
        <v>8798085</v>
      </c>
      <c r="C35">
        <v>8798036</v>
      </c>
      <c r="D35">
        <v>121548</v>
      </c>
      <c r="E35">
        <v>1</v>
      </c>
      <c r="F35">
        <v>1</v>
      </c>
      <c r="G35">
        <v>1</v>
      </c>
      <c r="H35">
        <v>1</v>
      </c>
      <c r="I35" t="s">
        <v>28</v>
      </c>
      <c r="K35" t="s">
        <v>252</v>
      </c>
      <c r="L35">
        <v>608254</v>
      </c>
      <c r="N35">
        <v>1013</v>
      </c>
      <c r="O35" t="s">
        <v>253</v>
      </c>
      <c r="P35" t="s">
        <v>253</v>
      </c>
      <c r="Q35">
        <v>1</v>
      </c>
      <c r="Y35">
        <v>1.47</v>
      </c>
      <c r="AA35">
        <v>0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1.47</v>
      </c>
      <c r="AV35">
        <v>2</v>
      </c>
      <c r="AW35">
        <v>2</v>
      </c>
      <c r="AX35">
        <v>8798085</v>
      </c>
      <c r="AY35">
        <v>1</v>
      </c>
      <c r="AZ35">
        <v>0</v>
      </c>
      <c r="BA35">
        <v>34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ROW(Source!A52)</f>
        <v>52</v>
      </c>
      <c r="B36">
        <v>8798086</v>
      </c>
      <c r="C36">
        <v>8798036</v>
      </c>
      <c r="D36">
        <v>5493882</v>
      </c>
      <c r="E36">
        <v>1</v>
      </c>
      <c r="F36">
        <v>1</v>
      </c>
      <c r="G36">
        <v>1</v>
      </c>
      <c r="H36">
        <v>2</v>
      </c>
      <c r="I36" t="s">
        <v>299</v>
      </c>
      <c r="J36" t="s">
        <v>300</v>
      </c>
      <c r="K36" t="s">
        <v>301</v>
      </c>
      <c r="L36">
        <v>1368</v>
      </c>
      <c r="N36">
        <v>1011</v>
      </c>
      <c r="O36" t="s">
        <v>257</v>
      </c>
      <c r="P36" t="s">
        <v>257</v>
      </c>
      <c r="Q36">
        <v>1</v>
      </c>
      <c r="Y36">
        <v>0.59</v>
      </c>
      <c r="AA36">
        <v>0</v>
      </c>
      <c r="AB36">
        <v>112</v>
      </c>
      <c r="AC36">
        <v>13.5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0.59</v>
      </c>
      <c r="AV36">
        <v>0</v>
      </c>
      <c r="AW36">
        <v>2</v>
      </c>
      <c r="AX36">
        <v>8798086</v>
      </c>
      <c r="AY36">
        <v>1</v>
      </c>
      <c r="AZ36">
        <v>0</v>
      </c>
      <c r="BA36">
        <v>35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ROW(Source!A52)</f>
        <v>52</v>
      </c>
      <c r="B37">
        <v>8798087</v>
      </c>
      <c r="C37">
        <v>8798036</v>
      </c>
      <c r="D37">
        <v>5496870</v>
      </c>
      <c r="E37">
        <v>1</v>
      </c>
      <c r="F37">
        <v>1</v>
      </c>
      <c r="G37">
        <v>1</v>
      </c>
      <c r="H37">
        <v>2</v>
      </c>
      <c r="I37" t="s">
        <v>258</v>
      </c>
      <c r="J37" t="s">
        <v>259</v>
      </c>
      <c r="K37" t="s">
        <v>260</v>
      </c>
      <c r="L37">
        <v>1368</v>
      </c>
      <c r="N37">
        <v>1011</v>
      </c>
      <c r="O37" t="s">
        <v>257</v>
      </c>
      <c r="P37" t="s">
        <v>257</v>
      </c>
      <c r="Q37">
        <v>1</v>
      </c>
      <c r="Y37">
        <v>0.88</v>
      </c>
      <c r="AA37">
        <v>0</v>
      </c>
      <c r="AB37">
        <v>75.4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0.88</v>
      </c>
      <c r="AV37">
        <v>0</v>
      </c>
      <c r="AW37">
        <v>2</v>
      </c>
      <c r="AX37">
        <v>8798087</v>
      </c>
      <c r="AY37">
        <v>1</v>
      </c>
      <c r="AZ37">
        <v>0</v>
      </c>
      <c r="BA37">
        <v>36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ROW(Source!A52)</f>
        <v>52</v>
      </c>
      <c r="B38">
        <v>8798088</v>
      </c>
      <c r="C38">
        <v>8798036</v>
      </c>
      <c r="D38">
        <v>5467855</v>
      </c>
      <c r="E38">
        <v>1</v>
      </c>
      <c r="F38">
        <v>1</v>
      </c>
      <c r="G38">
        <v>1</v>
      </c>
      <c r="H38">
        <v>3</v>
      </c>
      <c r="I38" t="s">
        <v>302</v>
      </c>
      <c r="J38" t="s">
        <v>303</v>
      </c>
      <c r="K38" t="s">
        <v>304</v>
      </c>
      <c r="L38">
        <v>1339</v>
      </c>
      <c r="N38">
        <v>1007</v>
      </c>
      <c r="O38" t="s">
        <v>31</v>
      </c>
      <c r="P38" t="s">
        <v>31</v>
      </c>
      <c r="Q38">
        <v>1</v>
      </c>
      <c r="Y38">
        <v>0.25</v>
      </c>
      <c r="AA38">
        <v>485.9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0.25</v>
      </c>
      <c r="AV38">
        <v>0</v>
      </c>
      <c r="AW38">
        <v>2</v>
      </c>
      <c r="AX38">
        <v>8798088</v>
      </c>
      <c r="AY38">
        <v>1</v>
      </c>
      <c r="AZ38">
        <v>0</v>
      </c>
      <c r="BA38">
        <v>37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ROW(Source!A52)</f>
        <v>52</v>
      </c>
      <c r="B39">
        <v>8798089</v>
      </c>
      <c r="C39">
        <v>8798036</v>
      </c>
      <c r="D39">
        <v>5473917</v>
      </c>
      <c r="E39">
        <v>1</v>
      </c>
      <c r="F39">
        <v>1</v>
      </c>
      <c r="G39">
        <v>1</v>
      </c>
      <c r="H39">
        <v>3</v>
      </c>
      <c r="I39" t="s">
        <v>305</v>
      </c>
      <c r="J39" t="s">
        <v>306</v>
      </c>
      <c r="K39" t="s">
        <v>307</v>
      </c>
      <c r="L39">
        <v>1301</v>
      </c>
      <c r="N39">
        <v>1003</v>
      </c>
      <c r="O39" t="s">
        <v>308</v>
      </c>
      <c r="P39" t="s">
        <v>308</v>
      </c>
      <c r="Q39">
        <v>1</v>
      </c>
      <c r="Y39">
        <v>100</v>
      </c>
      <c r="AA39">
        <v>139.33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100</v>
      </c>
      <c r="AV39">
        <v>0</v>
      </c>
      <c r="AW39">
        <v>2</v>
      </c>
      <c r="AX39">
        <v>8798089</v>
      </c>
      <c r="AY39">
        <v>1</v>
      </c>
      <c r="AZ39">
        <v>0</v>
      </c>
      <c r="BA39">
        <v>38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ROW(Source!A53)</f>
        <v>53</v>
      </c>
      <c r="B40">
        <v>8798091</v>
      </c>
      <c r="C40">
        <v>8798090</v>
      </c>
      <c r="D40">
        <v>5517677</v>
      </c>
      <c r="E40">
        <v>1</v>
      </c>
      <c r="F40">
        <v>1</v>
      </c>
      <c r="G40">
        <v>1</v>
      </c>
      <c r="H40">
        <v>1</v>
      </c>
      <c r="I40" t="s">
        <v>309</v>
      </c>
      <c r="K40" t="s">
        <v>310</v>
      </c>
      <c r="L40">
        <v>1369</v>
      </c>
      <c r="N40">
        <v>1013</v>
      </c>
      <c r="O40" t="s">
        <v>251</v>
      </c>
      <c r="P40" t="s">
        <v>251</v>
      </c>
      <c r="Q40">
        <v>1</v>
      </c>
      <c r="Y40">
        <v>951.08</v>
      </c>
      <c r="AA40">
        <v>0</v>
      </c>
      <c r="AB40">
        <v>0</v>
      </c>
      <c r="AC40">
        <v>0</v>
      </c>
      <c r="AD40">
        <v>8.64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951.08</v>
      </c>
      <c r="AV40">
        <v>1</v>
      </c>
      <c r="AW40">
        <v>2</v>
      </c>
      <c r="AX40">
        <v>8798091</v>
      </c>
      <c r="AY40">
        <v>1</v>
      </c>
      <c r="AZ40">
        <v>0</v>
      </c>
      <c r="BA40">
        <v>39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ROW(Source!A53)</f>
        <v>53</v>
      </c>
      <c r="B41">
        <v>8798092</v>
      </c>
      <c r="C41">
        <v>8798090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28</v>
      </c>
      <c r="K41" t="s">
        <v>252</v>
      </c>
      <c r="L41">
        <v>608254</v>
      </c>
      <c r="N41">
        <v>1013</v>
      </c>
      <c r="O41" t="s">
        <v>253</v>
      </c>
      <c r="P41" t="s">
        <v>253</v>
      </c>
      <c r="Q41">
        <v>1</v>
      </c>
      <c r="Y41">
        <v>31.17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31.17</v>
      </c>
      <c r="AV41">
        <v>2</v>
      </c>
      <c r="AW41">
        <v>2</v>
      </c>
      <c r="AX41">
        <v>8798092</v>
      </c>
      <c r="AY41">
        <v>1</v>
      </c>
      <c r="AZ41">
        <v>0</v>
      </c>
      <c r="BA41">
        <v>40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ROW(Source!A53)</f>
        <v>53</v>
      </c>
      <c r="B42">
        <v>8798093</v>
      </c>
      <c r="C42">
        <v>8798090</v>
      </c>
      <c r="D42">
        <v>5493705</v>
      </c>
      <c r="E42">
        <v>1</v>
      </c>
      <c r="F42">
        <v>1</v>
      </c>
      <c r="G42">
        <v>1</v>
      </c>
      <c r="H42">
        <v>2</v>
      </c>
      <c r="I42" t="s">
        <v>254</v>
      </c>
      <c r="J42" t="s">
        <v>255</v>
      </c>
      <c r="K42" t="s">
        <v>256</v>
      </c>
      <c r="L42">
        <v>1368</v>
      </c>
      <c r="N42">
        <v>1011</v>
      </c>
      <c r="O42" t="s">
        <v>257</v>
      </c>
      <c r="P42" t="s">
        <v>257</v>
      </c>
      <c r="Q42">
        <v>1</v>
      </c>
      <c r="Y42">
        <v>28.56</v>
      </c>
      <c r="AA42">
        <v>0</v>
      </c>
      <c r="AB42">
        <v>86.4</v>
      </c>
      <c r="AC42">
        <v>13.5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28.56</v>
      </c>
      <c r="AV42">
        <v>0</v>
      </c>
      <c r="AW42">
        <v>2</v>
      </c>
      <c r="AX42">
        <v>8798093</v>
      </c>
      <c r="AY42">
        <v>1</v>
      </c>
      <c r="AZ42">
        <v>0</v>
      </c>
      <c r="BA42">
        <v>41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ROW(Source!A53)</f>
        <v>53</v>
      </c>
      <c r="B43">
        <v>8798094</v>
      </c>
      <c r="C43">
        <v>8798090</v>
      </c>
      <c r="D43">
        <v>5493882</v>
      </c>
      <c r="E43">
        <v>1</v>
      </c>
      <c r="F43">
        <v>1</v>
      </c>
      <c r="G43">
        <v>1</v>
      </c>
      <c r="H43">
        <v>2</v>
      </c>
      <c r="I43" t="s">
        <v>299</v>
      </c>
      <c r="J43" t="s">
        <v>300</v>
      </c>
      <c r="K43" t="s">
        <v>301</v>
      </c>
      <c r="L43">
        <v>1368</v>
      </c>
      <c r="N43">
        <v>1011</v>
      </c>
      <c r="O43" t="s">
        <v>257</v>
      </c>
      <c r="P43" t="s">
        <v>257</v>
      </c>
      <c r="Q43">
        <v>1</v>
      </c>
      <c r="Y43">
        <v>0.94</v>
      </c>
      <c r="AA43">
        <v>0</v>
      </c>
      <c r="AB43">
        <v>112</v>
      </c>
      <c r="AC43">
        <v>13.5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0.94</v>
      </c>
      <c r="AV43">
        <v>0</v>
      </c>
      <c r="AW43">
        <v>2</v>
      </c>
      <c r="AX43">
        <v>8798094</v>
      </c>
      <c r="AY43">
        <v>1</v>
      </c>
      <c r="AZ43">
        <v>0</v>
      </c>
      <c r="BA43">
        <v>42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ROW(Source!A53)</f>
        <v>53</v>
      </c>
      <c r="B44">
        <v>8798095</v>
      </c>
      <c r="C44">
        <v>8798090</v>
      </c>
      <c r="D44">
        <v>5494044</v>
      </c>
      <c r="E44">
        <v>1</v>
      </c>
      <c r="F44">
        <v>1</v>
      </c>
      <c r="G44">
        <v>1</v>
      </c>
      <c r="H44">
        <v>2</v>
      </c>
      <c r="I44" t="s">
        <v>311</v>
      </c>
      <c r="J44" t="s">
        <v>312</v>
      </c>
      <c r="K44" t="s">
        <v>313</v>
      </c>
      <c r="L44">
        <v>1368</v>
      </c>
      <c r="N44">
        <v>1011</v>
      </c>
      <c r="O44" t="s">
        <v>257</v>
      </c>
      <c r="P44" t="s">
        <v>257</v>
      </c>
      <c r="Q44">
        <v>1</v>
      </c>
      <c r="Y44">
        <v>0.27</v>
      </c>
      <c r="AA44">
        <v>0</v>
      </c>
      <c r="AB44">
        <v>90</v>
      </c>
      <c r="AC44">
        <v>10.06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0.27</v>
      </c>
      <c r="AV44">
        <v>0</v>
      </c>
      <c r="AW44">
        <v>2</v>
      </c>
      <c r="AX44">
        <v>8798095</v>
      </c>
      <c r="AY44">
        <v>1</v>
      </c>
      <c r="AZ44">
        <v>0</v>
      </c>
      <c r="BA44">
        <v>43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ROW(Source!A53)</f>
        <v>53</v>
      </c>
      <c r="B45">
        <v>8798096</v>
      </c>
      <c r="C45">
        <v>8798090</v>
      </c>
      <c r="D45">
        <v>5495003</v>
      </c>
      <c r="E45">
        <v>1</v>
      </c>
      <c r="F45">
        <v>1</v>
      </c>
      <c r="G45">
        <v>1</v>
      </c>
      <c r="H45">
        <v>2</v>
      </c>
      <c r="I45" t="s">
        <v>314</v>
      </c>
      <c r="J45" t="s">
        <v>315</v>
      </c>
      <c r="K45" t="s">
        <v>316</v>
      </c>
      <c r="L45">
        <v>1368</v>
      </c>
      <c r="N45">
        <v>1011</v>
      </c>
      <c r="O45" t="s">
        <v>257</v>
      </c>
      <c r="P45" t="s">
        <v>257</v>
      </c>
      <c r="Q45">
        <v>1</v>
      </c>
      <c r="Y45">
        <v>47.96</v>
      </c>
      <c r="AA45">
        <v>0</v>
      </c>
      <c r="AB45">
        <v>0.5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47.96</v>
      </c>
      <c r="AV45">
        <v>0</v>
      </c>
      <c r="AW45">
        <v>2</v>
      </c>
      <c r="AX45">
        <v>8798096</v>
      </c>
      <c r="AY45">
        <v>1</v>
      </c>
      <c r="AZ45">
        <v>0</v>
      </c>
      <c r="BA45">
        <v>44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ROW(Source!A53)</f>
        <v>53</v>
      </c>
      <c r="B46">
        <v>8798097</v>
      </c>
      <c r="C46">
        <v>8798090</v>
      </c>
      <c r="D46">
        <v>5496502</v>
      </c>
      <c r="E46">
        <v>1</v>
      </c>
      <c r="F46">
        <v>1</v>
      </c>
      <c r="G46">
        <v>1</v>
      </c>
      <c r="H46">
        <v>2</v>
      </c>
      <c r="I46" t="s">
        <v>317</v>
      </c>
      <c r="J46" t="s">
        <v>318</v>
      </c>
      <c r="K46" t="s">
        <v>319</v>
      </c>
      <c r="L46">
        <v>1368</v>
      </c>
      <c r="N46">
        <v>1011</v>
      </c>
      <c r="O46" t="s">
        <v>257</v>
      </c>
      <c r="P46" t="s">
        <v>257</v>
      </c>
      <c r="Q46">
        <v>1</v>
      </c>
      <c r="Y46">
        <v>4.6</v>
      </c>
      <c r="AA46">
        <v>0</v>
      </c>
      <c r="AB46">
        <v>3.27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4.6</v>
      </c>
      <c r="AV46">
        <v>0</v>
      </c>
      <c r="AW46">
        <v>2</v>
      </c>
      <c r="AX46">
        <v>8798097</v>
      </c>
      <c r="AY46">
        <v>1</v>
      </c>
      <c r="AZ46">
        <v>0</v>
      </c>
      <c r="BA46">
        <v>45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ROW(Source!A53)</f>
        <v>53</v>
      </c>
      <c r="B47">
        <v>8798098</v>
      </c>
      <c r="C47">
        <v>8798090</v>
      </c>
      <c r="D47">
        <v>5496870</v>
      </c>
      <c r="E47">
        <v>1</v>
      </c>
      <c r="F47">
        <v>1</v>
      </c>
      <c r="G47">
        <v>1</v>
      </c>
      <c r="H47">
        <v>2</v>
      </c>
      <c r="I47" t="s">
        <v>258</v>
      </c>
      <c r="J47" t="s">
        <v>259</v>
      </c>
      <c r="K47" t="s">
        <v>260</v>
      </c>
      <c r="L47">
        <v>1368</v>
      </c>
      <c r="N47">
        <v>1011</v>
      </c>
      <c r="O47" t="s">
        <v>257</v>
      </c>
      <c r="P47" t="s">
        <v>257</v>
      </c>
      <c r="Q47">
        <v>1</v>
      </c>
      <c r="Y47">
        <v>1.4</v>
      </c>
      <c r="AA47">
        <v>0</v>
      </c>
      <c r="AB47">
        <v>75.4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1.4</v>
      </c>
      <c r="AV47">
        <v>0</v>
      </c>
      <c r="AW47">
        <v>2</v>
      </c>
      <c r="AX47">
        <v>8798098</v>
      </c>
      <c r="AY47">
        <v>1</v>
      </c>
      <c r="AZ47">
        <v>0</v>
      </c>
      <c r="BA47">
        <v>46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ROW(Source!A53)</f>
        <v>53</v>
      </c>
      <c r="B48">
        <v>8798099</v>
      </c>
      <c r="C48">
        <v>8798090</v>
      </c>
      <c r="D48">
        <v>5440985</v>
      </c>
      <c r="E48">
        <v>1</v>
      </c>
      <c r="F48">
        <v>1</v>
      </c>
      <c r="G48">
        <v>1</v>
      </c>
      <c r="H48">
        <v>3</v>
      </c>
      <c r="I48" t="s">
        <v>320</v>
      </c>
      <c r="J48" t="s">
        <v>321</v>
      </c>
      <c r="K48" t="s">
        <v>322</v>
      </c>
      <c r="L48">
        <v>1348</v>
      </c>
      <c r="N48">
        <v>1009</v>
      </c>
      <c r="O48" t="s">
        <v>42</v>
      </c>
      <c r="P48" t="s">
        <v>42</v>
      </c>
      <c r="Q48">
        <v>1000</v>
      </c>
      <c r="Y48">
        <v>0.086</v>
      </c>
      <c r="AA48">
        <v>734.5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0.086</v>
      </c>
      <c r="AV48">
        <v>0</v>
      </c>
      <c r="AW48">
        <v>2</v>
      </c>
      <c r="AX48">
        <v>8798099</v>
      </c>
      <c r="AY48">
        <v>1</v>
      </c>
      <c r="AZ48">
        <v>0</v>
      </c>
      <c r="BA48">
        <v>47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ROW(Source!A53)</f>
        <v>53</v>
      </c>
      <c r="B49">
        <v>8798100</v>
      </c>
      <c r="C49">
        <v>8798090</v>
      </c>
      <c r="D49">
        <v>5441877</v>
      </c>
      <c r="E49">
        <v>1</v>
      </c>
      <c r="F49">
        <v>1</v>
      </c>
      <c r="G49">
        <v>1</v>
      </c>
      <c r="H49">
        <v>3</v>
      </c>
      <c r="I49" t="s">
        <v>323</v>
      </c>
      <c r="J49" t="s">
        <v>324</v>
      </c>
      <c r="K49" t="s">
        <v>325</v>
      </c>
      <c r="L49">
        <v>1348</v>
      </c>
      <c r="N49">
        <v>1009</v>
      </c>
      <c r="O49" t="s">
        <v>42</v>
      </c>
      <c r="P49" t="s">
        <v>42</v>
      </c>
      <c r="Q49">
        <v>1000</v>
      </c>
      <c r="Y49">
        <v>0.0116</v>
      </c>
      <c r="AA49">
        <v>10200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0.0116</v>
      </c>
      <c r="AV49">
        <v>0</v>
      </c>
      <c r="AW49">
        <v>2</v>
      </c>
      <c r="AX49">
        <v>8798100</v>
      </c>
      <c r="AY49">
        <v>1</v>
      </c>
      <c r="AZ49">
        <v>0</v>
      </c>
      <c r="BA49">
        <v>48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ROW(Source!A53)</f>
        <v>53</v>
      </c>
      <c r="B50">
        <v>8798101</v>
      </c>
      <c r="C50">
        <v>8798090</v>
      </c>
      <c r="D50">
        <v>5443289</v>
      </c>
      <c r="E50">
        <v>1</v>
      </c>
      <c r="F50">
        <v>1</v>
      </c>
      <c r="G50">
        <v>1</v>
      </c>
      <c r="H50">
        <v>3</v>
      </c>
      <c r="I50" t="s">
        <v>326</v>
      </c>
      <c r="J50" t="s">
        <v>327</v>
      </c>
      <c r="K50" t="s">
        <v>328</v>
      </c>
      <c r="L50">
        <v>1330</v>
      </c>
      <c r="N50">
        <v>1005</v>
      </c>
      <c r="O50" t="s">
        <v>329</v>
      </c>
      <c r="P50" t="s">
        <v>329</v>
      </c>
      <c r="Q50">
        <v>10</v>
      </c>
      <c r="Y50">
        <v>4.29</v>
      </c>
      <c r="AA50">
        <v>84.75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4.29</v>
      </c>
      <c r="AV50">
        <v>0</v>
      </c>
      <c r="AW50">
        <v>2</v>
      </c>
      <c r="AX50">
        <v>8798101</v>
      </c>
      <c r="AY50">
        <v>1</v>
      </c>
      <c r="AZ50">
        <v>0</v>
      </c>
      <c r="BA50">
        <v>49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ROW(Source!A53)</f>
        <v>53</v>
      </c>
      <c r="B51">
        <v>8798102</v>
      </c>
      <c r="C51">
        <v>8798090</v>
      </c>
      <c r="D51">
        <v>5443308</v>
      </c>
      <c r="E51">
        <v>1</v>
      </c>
      <c r="F51">
        <v>1</v>
      </c>
      <c r="G51">
        <v>1</v>
      </c>
      <c r="H51">
        <v>3</v>
      </c>
      <c r="I51" t="s">
        <v>330</v>
      </c>
      <c r="J51" t="s">
        <v>331</v>
      </c>
      <c r="K51" t="s">
        <v>332</v>
      </c>
      <c r="L51">
        <v>1348</v>
      </c>
      <c r="N51">
        <v>1009</v>
      </c>
      <c r="O51" t="s">
        <v>42</v>
      </c>
      <c r="P51" t="s">
        <v>42</v>
      </c>
      <c r="Q51">
        <v>1000</v>
      </c>
      <c r="Y51">
        <v>0.079</v>
      </c>
      <c r="AA51">
        <v>11978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0.079</v>
      </c>
      <c r="AV51">
        <v>0</v>
      </c>
      <c r="AW51">
        <v>2</v>
      </c>
      <c r="AX51">
        <v>8798102</v>
      </c>
      <c r="AY51">
        <v>1</v>
      </c>
      <c r="AZ51">
        <v>0</v>
      </c>
      <c r="BA51">
        <v>50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ROW(Source!A53)</f>
        <v>53</v>
      </c>
      <c r="B52">
        <v>8798103</v>
      </c>
      <c r="C52">
        <v>8798090</v>
      </c>
      <c r="D52">
        <v>5444407</v>
      </c>
      <c r="E52">
        <v>1</v>
      </c>
      <c r="F52">
        <v>1</v>
      </c>
      <c r="G52">
        <v>1</v>
      </c>
      <c r="H52">
        <v>3</v>
      </c>
      <c r="I52" t="s">
        <v>333</v>
      </c>
      <c r="J52" t="s">
        <v>334</v>
      </c>
      <c r="K52" t="s">
        <v>335</v>
      </c>
      <c r="L52">
        <v>1339</v>
      </c>
      <c r="N52">
        <v>1007</v>
      </c>
      <c r="O52" t="s">
        <v>31</v>
      </c>
      <c r="P52" t="s">
        <v>31</v>
      </c>
      <c r="Q52">
        <v>1</v>
      </c>
      <c r="Y52">
        <v>6.22</v>
      </c>
      <c r="AA52">
        <v>1287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6.22</v>
      </c>
      <c r="AV52">
        <v>0</v>
      </c>
      <c r="AW52">
        <v>2</v>
      </c>
      <c r="AX52">
        <v>8798103</v>
      </c>
      <c r="AY52">
        <v>1</v>
      </c>
      <c r="AZ52">
        <v>0</v>
      </c>
      <c r="BA52">
        <v>51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ROW(Source!A53)</f>
        <v>53</v>
      </c>
      <c r="B53">
        <v>8798104</v>
      </c>
      <c r="C53">
        <v>8798090</v>
      </c>
      <c r="D53">
        <v>5444421</v>
      </c>
      <c r="E53">
        <v>1</v>
      </c>
      <c r="F53">
        <v>1</v>
      </c>
      <c r="G53">
        <v>1</v>
      </c>
      <c r="H53">
        <v>3</v>
      </c>
      <c r="I53" t="s">
        <v>336</v>
      </c>
      <c r="J53" t="s">
        <v>337</v>
      </c>
      <c r="K53" t="s">
        <v>338</v>
      </c>
      <c r="L53">
        <v>1339</v>
      </c>
      <c r="N53">
        <v>1007</v>
      </c>
      <c r="O53" t="s">
        <v>31</v>
      </c>
      <c r="P53" t="s">
        <v>31</v>
      </c>
      <c r="Q53">
        <v>1</v>
      </c>
      <c r="Y53">
        <v>0.99</v>
      </c>
      <c r="AA53">
        <v>2156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0.99</v>
      </c>
      <c r="AV53">
        <v>0</v>
      </c>
      <c r="AW53">
        <v>2</v>
      </c>
      <c r="AX53">
        <v>8798104</v>
      </c>
      <c r="AY53">
        <v>1</v>
      </c>
      <c r="AZ53">
        <v>0</v>
      </c>
      <c r="BA53">
        <v>52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ROW(Source!A53)</f>
        <v>53</v>
      </c>
      <c r="B54">
        <v>8798105</v>
      </c>
      <c r="C54">
        <v>8798090</v>
      </c>
      <c r="D54">
        <v>5444465</v>
      </c>
      <c r="E54">
        <v>1</v>
      </c>
      <c r="F54">
        <v>1</v>
      </c>
      <c r="G54">
        <v>1</v>
      </c>
      <c r="H54">
        <v>3</v>
      </c>
      <c r="I54" t="s">
        <v>339</v>
      </c>
      <c r="J54" t="s">
        <v>340</v>
      </c>
      <c r="K54" t="s">
        <v>341</v>
      </c>
      <c r="L54">
        <v>1339</v>
      </c>
      <c r="N54">
        <v>1007</v>
      </c>
      <c r="O54" t="s">
        <v>31</v>
      </c>
      <c r="P54" t="s">
        <v>31</v>
      </c>
      <c r="Q54">
        <v>1</v>
      </c>
      <c r="Y54">
        <v>0.53</v>
      </c>
      <c r="AA54">
        <v>1100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0.53</v>
      </c>
      <c r="AV54">
        <v>0</v>
      </c>
      <c r="AW54">
        <v>2</v>
      </c>
      <c r="AX54">
        <v>8798105</v>
      </c>
      <c r="AY54">
        <v>1</v>
      </c>
      <c r="AZ54">
        <v>0</v>
      </c>
      <c r="BA54">
        <v>53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ROW(Source!A53)</f>
        <v>53</v>
      </c>
      <c r="B55">
        <v>8798106</v>
      </c>
      <c r="C55">
        <v>8798090</v>
      </c>
      <c r="D55">
        <v>5444478</v>
      </c>
      <c r="E55">
        <v>1</v>
      </c>
      <c r="F55">
        <v>1</v>
      </c>
      <c r="G55">
        <v>1</v>
      </c>
      <c r="H55">
        <v>3</v>
      </c>
      <c r="I55" t="s">
        <v>342</v>
      </c>
      <c r="J55" t="s">
        <v>343</v>
      </c>
      <c r="K55" t="s">
        <v>344</v>
      </c>
      <c r="L55">
        <v>1339</v>
      </c>
      <c r="N55">
        <v>1007</v>
      </c>
      <c r="O55" t="s">
        <v>31</v>
      </c>
      <c r="P55" t="s">
        <v>31</v>
      </c>
      <c r="Q55">
        <v>1</v>
      </c>
      <c r="Y55">
        <v>2.61</v>
      </c>
      <c r="AA55">
        <v>1056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2.61</v>
      </c>
      <c r="AV55">
        <v>0</v>
      </c>
      <c r="AW55">
        <v>2</v>
      </c>
      <c r="AX55">
        <v>8798106</v>
      </c>
      <c r="AY55">
        <v>1</v>
      </c>
      <c r="AZ55">
        <v>0</v>
      </c>
      <c r="BA55">
        <v>54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ROW(Source!A53)</f>
        <v>53</v>
      </c>
      <c r="B56">
        <v>8798107</v>
      </c>
      <c r="C56">
        <v>8798090</v>
      </c>
      <c r="D56">
        <v>5457354</v>
      </c>
      <c r="E56">
        <v>1</v>
      </c>
      <c r="F56">
        <v>1</v>
      </c>
      <c r="G56">
        <v>1</v>
      </c>
      <c r="H56">
        <v>3</v>
      </c>
      <c r="I56" t="s">
        <v>345</v>
      </c>
      <c r="J56" t="s">
        <v>346</v>
      </c>
      <c r="K56" t="s">
        <v>347</v>
      </c>
      <c r="L56">
        <v>1348</v>
      </c>
      <c r="N56">
        <v>1009</v>
      </c>
      <c r="O56" t="s">
        <v>42</v>
      </c>
      <c r="P56" t="s">
        <v>42</v>
      </c>
      <c r="Q56">
        <v>1000</v>
      </c>
      <c r="Y56">
        <v>0.5</v>
      </c>
      <c r="AA56">
        <v>8060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0.5</v>
      </c>
      <c r="AV56">
        <v>0</v>
      </c>
      <c r="AW56">
        <v>2</v>
      </c>
      <c r="AX56">
        <v>8798107</v>
      </c>
      <c r="AY56">
        <v>1</v>
      </c>
      <c r="AZ56">
        <v>0</v>
      </c>
      <c r="BA56">
        <v>55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ROW(Source!A53)</f>
        <v>53</v>
      </c>
      <c r="B57">
        <v>8798108</v>
      </c>
      <c r="C57">
        <v>8798090</v>
      </c>
      <c r="D57">
        <v>5458980</v>
      </c>
      <c r="E57">
        <v>1</v>
      </c>
      <c r="F57">
        <v>1</v>
      </c>
      <c r="G57">
        <v>1</v>
      </c>
      <c r="H57">
        <v>3</v>
      </c>
      <c r="I57" t="s">
        <v>348</v>
      </c>
      <c r="J57" t="s">
        <v>349</v>
      </c>
      <c r="K57" t="s">
        <v>350</v>
      </c>
      <c r="L57">
        <v>1327</v>
      </c>
      <c r="N57">
        <v>1005</v>
      </c>
      <c r="O57" t="s">
        <v>290</v>
      </c>
      <c r="P57" t="s">
        <v>290</v>
      </c>
      <c r="Q57">
        <v>1</v>
      </c>
      <c r="Y57">
        <v>86.1</v>
      </c>
      <c r="AA57">
        <v>35.53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86.1</v>
      </c>
      <c r="AV57">
        <v>0</v>
      </c>
      <c r="AW57">
        <v>2</v>
      </c>
      <c r="AX57">
        <v>8798108</v>
      </c>
      <c r="AY57">
        <v>1</v>
      </c>
      <c r="AZ57">
        <v>0</v>
      </c>
      <c r="BA57">
        <v>56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ROW(Source!A53)</f>
        <v>53</v>
      </c>
      <c r="B58">
        <v>8798109</v>
      </c>
      <c r="C58">
        <v>8798090</v>
      </c>
      <c r="D58">
        <v>5458987</v>
      </c>
      <c r="E58">
        <v>1</v>
      </c>
      <c r="F58">
        <v>1</v>
      </c>
      <c r="G58">
        <v>1</v>
      </c>
      <c r="H58">
        <v>3</v>
      </c>
      <c r="I58" t="s">
        <v>351</v>
      </c>
      <c r="J58" t="s">
        <v>352</v>
      </c>
      <c r="K58" t="s">
        <v>353</v>
      </c>
      <c r="L58">
        <v>1354</v>
      </c>
      <c r="N58">
        <v>1010</v>
      </c>
      <c r="O58" t="s">
        <v>354</v>
      </c>
      <c r="P58" t="s">
        <v>354</v>
      </c>
      <c r="Q58">
        <v>1</v>
      </c>
      <c r="Y58">
        <v>2.8</v>
      </c>
      <c r="AA58">
        <v>1010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2.8</v>
      </c>
      <c r="AV58">
        <v>0</v>
      </c>
      <c r="AW58">
        <v>2</v>
      </c>
      <c r="AX58">
        <v>8798109</v>
      </c>
      <c r="AY58">
        <v>1</v>
      </c>
      <c r="AZ58">
        <v>0</v>
      </c>
      <c r="BA58">
        <v>57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ROW(Source!A53)</f>
        <v>53</v>
      </c>
      <c r="B59">
        <v>8798110</v>
      </c>
      <c r="C59">
        <v>8798090</v>
      </c>
      <c r="D59">
        <v>5459281</v>
      </c>
      <c r="E59">
        <v>1</v>
      </c>
      <c r="F59">
        <v>1</v>
      </c>
      <c r="G59">
        <v>1</v>
      </c>
      <c r="H59">
        <v>3</v>
      </c>
      <c r="I59" t="s">
        <v>267</v>
      </c>
      <c r="J59" t="s">
        <v>268</v>
      </c>
      <c r="K59" t="s">
        <v>269</v>
      </c>
      <c r="L59">
        <v>1348</v>
      </c>
      <c r="N59">
        <v>1009</v>
      </c>
      <c r="O59" t="s">
        <v>42</v>
      </c>
      <c r="P59" t="s">
        <v>42</v>
      </c>
      <c r="Q59">
        <v>1000</v>
      </c>
      <c r="Y59">
        <v>7.66</v>
      </c>
      <c r="AA59">
        <v>5650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7.66</v>
      </c>
      <c r="AV59">
        <v>0</v>
      </c>
      <c r="AW59">
        <v>2</v>
      </c>
      <c r="AX59">
        <v>8798110</v>
      </c>
      <c r="AY59">
        <v>1</v>
      </c>
      <c r="AZ59">
        <v>0</v>
      </c>
      <c r="BA59">
        <v>58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ROW(Source!A53)</f>
        <v>53</v>
      </c>
      <c r="B60">
        <v>8798111</v>
      </c>
      <c r="C60">
        <v>8798090</v>
      </c>
      <c r="D60">
        <v>5467008</v>
      </c>
      <c r="E60">
        <v>1</v>
      </c>
      <c r="F60">
        <v>1</v>
      </c>
      <c r="G60">
        <v>1</v>
      </c>
      <c r="H60">
        <v>3</v>
      </c>
      <c r="I60" t="s">
        <v>89</v>
      </c>
      <c r="J60" t="s">
        <v>91</v>
      </c>
      <c r="K60" t="s">
        <v>90</v>
      </c>
      <c r="L60">
        <v>1339</v>
      </c>
      <c r="N60">
        <v>1007</v>
      </c>
      <c r="O60" t="s">
        <v>31</v>
      </c>
      <c r="P60" t="s">
        <v>31</v>
      </c>
      <c r="Q60">
        <v>1</v>
      </c>
      <c r="Y60">
        <v>-101.5</v>
      </c>
      <c r="AA60">
        <v>665</v>
      </c>
      <c r="AB60">
        <v>0</v>
      </c>
      <c r="AC60">
        <v>0</v>
      </c>
      <c r="AD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T60">
        <v>-101.5</v>
      </c>
      <c r="AV60">
        <v>0</v>
      </c>
      <c r="AW60">
        <v>2</v>
      </c>
      <c r="AX60">
        <v>8798111</v>
      </c>
      <c r="AY60">
        <v>2</v>
      </c>
      <c r="AZ60">
        <v>12288</v>
      </c>
      <c r="BA60">
        <v>59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ROW(Source!A53)</f>
        <v>53</v>
      </c>
      <c r="B61">
        <v>8798112</v>
      </c>
      <c r="C61">
        <v>8798090</v>
      </c>
      <c r="D61">
        <v>5470416</v>
      </c>
      <c r="E61">
        <v>1</v>
      </c>
      <c r="F61">
        <v>1</v>
      </c>
      <c r="G61">
        <v>1</v>
      </c>
      <c r="H61">
        <v>3</v>
      </c>
      <c r="I61" t="s">
        <v>277</v>
      </c>
      <c r="J61" t="s">
        <v>278</v>
      </c>
      <c r="K61" t="s">
        <v>279</v>
      </c>
      <c r="L61">
        <v>1339</v>
      </c>
      <c r="N61">
        <v>1007</v>
      </c>
      <c r="O61" t="s">
        <v>31</v>
      </c>
      <c r="P61" t="s">
        <v>31</v>
      </c>
      <c r="Q61">
        <v>1</v>
      </c>
      <c r="Y61">
        <v>0.257</v>
      </c>
      <c r="AA61">
        <v>2.44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0.257</v>
      </c>
      <c r="AV61">
        <v>0</v>
      </c>
      <c r="AW61">
        <v>2</v>
      </c>
      <c r="AX61">
        <v>8798112</v>
      </c>
      <c r="AY61">
        <v>1</v>
      </c>
      <c r="AZ61">
        <v>0</v>
      </c>
      <c r="BA61">
        <v>60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ROW(Source!A53)</f>
        <v>53</v>
      </c>
      <c r="B62">
        <v>8798114</v>
      </c>
      <c r="C62">
        <v>8798090</v>
      </c>
      <c r="D62">
        <v>0</v>
      </c>
      <c r="E62">
        <v>0</v>
      </c>
      <c r="F62">
        <v>1</v>
      </c>
      <c r="G62">
        <v>1</v>
      </c>
      <c r="H62">
        <v>3</v>
      </c>
      <c r="I62" t="s">
        <v>93</v>
      </c>
      <c r="J62" t="s">
        <v>95</v>
      </c>
      <c r="K62" t="s">
        <v>94</v>
      </c>
      <c r="L62">
        <v>1339</v>
      </c>
      <c r="N62">
        <v>1007</v>
      </c>
      <c r="O62" t="s">
        <v>31</v>
      </c>
      <c r="P62" t="s">
        <v>31</v>
      </c>
      <c r="Q62">
        <v>1</v>
      </c>
      <c r="Y62">
        <v>101.5</v>
      </c>
      <c r="AA62">
        <v>3855.93</v>
      </c>
      <c r="AB62">
        <v>0</v>
      </c>
      <c r="AC62">
        <v>0</v>
      </c>
      <c r="AD62">
        <v>0</v>
      </c>
      <c r="AN62">
        <v>0</v>
      </c>
      <c r="AO62">
        <v>0</v>
      </c>
      <c r="AP62">
        <v>2</v>
      </c>
      <c r="AQ62">
        <v>0</v>
      </c>
      <c r="AR62">
        <v>0</v>
      </c>
      <c r="AT62">
        <v>101.5</v>
      </c>
      <c r="AV62">
        <v>0</v>
      </c>
      <c r="AW62">
        <v>1</v>
      </c>
      <c r="AX62">
        <v>-1</v>
      </c>
      <c r="AY62">
        <v>0</v>
      </c>
      <c r="AZ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60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8798045</v>
      </c>
      <c r="C1">
        <v>8797950</v>
      </c>
      <c r="D1">
        <v>5515297</v>
      </c>
      <c r="E1">
        <v>1</v>
      </c>
      <c r="F1">
        <v>1</v>
      </c>
      <c r="G1">
        <v>1</v>
      </c>
      <c r="H1">
        <v>1</v>
      </c>
      <c r="I1" t="s">
        <v>249</v>
      </c>
      <c r="K1" t="s">
        <v>250</v>
      </c>
      <c r="L1">
        <v>1369</v>
      </c>
      <c r="N1">
        <v>1013</v>
      </c>
      <c r="O1" t="s">
        <v>251</v>
      </c>
      <c r="P1" t="s">
        <v>251</v>
      </c>
      <c r="Q1">
        <v>1</v>
      </c>
      <c r="X1">
        <v>170.17</v>
      </c>
      <c r="Y1">
        <v>0</v>
      </c>
      <c r="Z1">
        <v>0</v>
      </c>
      <c r="AA1">
        <v>0</v>
      </c>
      <c r="AB1">
        <v>8.53</v>
      </c>
      <c r="AC1">
        <v>0</v>
      </c>
      <c r="AD1">
        <v>1</v>
      </c>
      <c r="AE1">
        <v>1</v>
      </c>
      <c r="AG1">
        <v>170.17</v>
      </c>
      <c r="AH1">
        <v>2</v>
      </c>
      <c r="AI1">
        <v>8798045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8798046</v>
      </c>
      <c r="C2">
        <v>8797950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252</v>
      </c>
      <c r="L2">
        <v>608254</v>
      </c>
      <c r="N2">
        <v>1013</v>
      </c>
      <c r="O2" t="s">
        <v>253</v>
      </c>
      <c r="P2" t="s">
        <v>253</v>
      </c>
      <c r="Q2">
        <v>1</v>
      </c>
      <c r="X2">
        <v>4.22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4.22</v>
      </c>
      <c r="AH2">
        <v>2</v>
      </c>
      <c r="AI2">
        <v>8798046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8798047</v>
      </c>
      <c r="C3">
        <v>8797950</v>
      </c>
      <c r="D3">
        <v>5493705</v>
      </c>
      <c r="E3">
        <v>1</v>
      </c>
      <c r="F3">
        <v>1</v>
      </c>
      <c r="G3">
        <v>1</v>
      </c>
      <c r="H3">
        <v>2</v>
      </c>
      <c r="I3" t="s">
        <v>254</v>
      </c>
      <c r="J3" t="s">
        <v>255</v>
      </c>
      <c r="K3" t="s">
        <v>256</v>
      </c>
      <c r="L3">
        <v>1368</v>
      </c>
      <c r="N3">
        <v>1011</v>
      </c>
      <c r="O3" t="s">
        <v>257</v>
      </c>
      <c r="P3" t="s">
        <v>257</v>
      </c>
      <c r="Q3">
        <v>1</v>
      </c>
      <c r="X3">
        <v>4.11</v>
      </c>
      <c r="Y3">
        <v>0</v>
      </c>
      <c r="Z3">
        <v>86.4</v>
      </c>
      <c r="AA3">
        <v>13.5</v>
      </c>
      <c r="AB3">
        <v>0</v>
      </c>
      <c r="AC3">
        <v>0</v>
      </c>
      <c r="AD3">
        <v>1</v>
      </c>
      <c r="AE3">
        <v>0</v>
      </c>
      <c r="AG3">
        <v>4.11</v>
      </c>
      <c r="AH3">
        <v>2</v>
      </c>
      <c r="AI3">
        <v>8798047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8798048</v>
      </c>
      <c r="C4">
        <v>8797950</v>
      </c>
      <c r="D4">
        <v>5496870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257</v>
      </c>
      <c r="P4" t="s">
        <v>257</v>
      </c>
      <c r="Q4">
        <v>1</v>
      </c>
      <c r="X4">
        <v>0.11</v>
      </c>
      <c r="Y4">
        <v>0</v>
      </c>
      <c r="Z4">
        <v>75.4</v>
      </c>
      <c r="AA4">
        <v>0</v>
      </c>
      <c r="AB4">
        <v>0</v>
      </c>
      <c r="AC4">
        <v>0</v>
      </c>
      <c r="AD4">
        <v>1</v>
      </c>
      <c r="AE4">
        <v>0</v>
      </c>
      <c r="AG4">
        <v>0.11</v>
      </c>
      <c r="AH4">
        <v>2</v>
      </c>
      <c r="AI4">
        <v>8798048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8798049</v>
      </c>
      <c r="C5">
        <v>8797950</v>
      </c>
      <c r="D5">
        <v>5441820</v>
      </c>
      <c r="E5">
        <v>1</v>
      </c>
      <c r="F5">
        <v>1</v>
      </c>
      <c r="G5">
        <v>1</v>
      </c>
      <c r="H5">
        <v>3</v>
      </c>
      <c r="I5" t="s">
        <v>261</v>
      </c>
      <c r="J5" t="s">
        <v>262</v>
      </c>
      <c r="K5" t="s">
        <v>263</v>
      </c>
      <c r="L5">
        <v>1348</v>
      </c>
      <c r="N5">
        <v>1009</v>
      </c>
      <c r="O5" t="s">
        <v>42</v>
      </c>
      <c r="P5" t="s">
        <v>42</v>
      </c>
      <c r="Q5">
        <v>1000</v>
      </c>
      <c r="X5">
        <v>0.0023</v>
      </c>
      <c r="Y5">
        <v>5989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0.0023</v>
      </c>
      <c r="AH5">
        <v>2</v>
      </c>
      <c r="AI5">
        <v>8798049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8798050</v>
      </c>
      <c r="C6">
        <v>8797950</v>
      </c>
      <c r="D6">
        <v>5444409</v>
      </c>
      <c r="E6">
        <v>1</v>
      </c>
      <c r="F6">
        <v>1</v>
      </c>
      <c r="G6">
        <v>1</v>
      </c>
      <c r="H6">
        <v>3</v>
      </c>
      <c r="I6" t="s">
        <v>264</v>
      </c>
      <c r="J6" t="s">
        <v>265</v>
      </c>
      <c r="K6" t="s">
        <v>266</v>
      </c>
      <c r="L6">
        <v>1339</v>
      </c>
      <c r="N6">
        <v>1007</v>
      </c>
      <c r="O6" t="s">
        <v>31</v>
      </c>
      <c r="P6" t="s">
        <v>31</v>
      </c>
      <c r="Q6">
        <v>1</v>
      </c>
      <c r="X6">
        <v>0.016</v>
      </c>
      <c r="Y6">
        <v>1056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0.016</v>
      </c>
      <c r="AH6">
        <v>2</v>
      </c>
      <c r="AI6">
        <v>8798050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8798051</v>
      </c>
      <c r="C7">
        <v>8797950</v>
      </c>
      <c r="D7">
        <v>5459281</v>
      </c>
      <c r="E7">
        <v>1</v>
      </c>
      <c r="F7">
        <v>1</v>
      </c>
      <c r="G7">
        <v>1</v>
      </c>
      <c r="H7">
        <v>3</v>
      </c>
      <c r="I7" t="s">
        <v>267</v>
      </c>
      <c r="J7" t="s">
        <v>268</v>
      </c>
      <c r="K7" t="s">
        <v>269</v>
      </c>
      <c r="L7">
        <v>1348</v>
      </c>
      <c r="N7">
        <v>1009</v>
      </c>
      <c r="O7" t="s">
        <v>42</v>
      </c>
      <c r="P7" t="s">
        <v>42</v>
      </c>
      <c r="Q7">
        <v>1000</v>
      </c>
      <c r="X7">
        <v>0.09</v>
      </c>
      <c r="Y7">
        <v>5650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0.09</v>
      </c>
      <c r="AH7">
        <v>2</v>
      </c>
      <c r="AI7">
        <v>8798051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8798052</v>
      </c>
      <c r="C8">
        <v>8797950</v>
      </c>
      <c r="D8">
        <v>5467874</v>
      </c>
      <c r="E8">
        <v>1</v>
      </c>
      <c r="F8">
        <v>1</v>
      </c>
      <c r="G8">
        <v>1</v>
      </c>
      <c r="H8">
        <v>3</v>
      </c>
      <c r="I8" t="s">
        <v>270</v>
      </c>
      <c r="J8" t="s">
        <v>271</v>
      </c>
      <c r="K8" t="s">
        <v>272</v>
      </c>
      <c r="L8">
        <v>1339</v>
      </c>
      <c r="N8">
        <v>1007</v>
      </c>
      <c r="O8" t="s">
        <v>31</v>
      </c>
      <c r="P8" t="s">
        <v>31</v>
      </c>
      <c r="Q8">
        <v>1</v>
      </c>
      <c r="X8">
        <v>2.3</v>
      </c>
      <c r="Y8">
        <v>497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2.3</v>
      </c>
      <c r="AH8">
        <v>2</v>
      </c>
      <c r="AI8">
        <v>8798052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8798053</v>
      </c>
      <c r="C9">
        <v>8797950</v>
      </c>
      <c r="D9">
        <v>5468604</v>
      </c>
      <c r="E9">
        <v>1</v>
      </c>
      <c r="F9">
        <v>1</v>
      </c>
      <c r="G9">
        <v>1</v>
      </c>
      <c r="H9">
        <v>3</v>
      </c>
      <c r="I9" t="s">
        <v>273</v>
      </c>
      <c r="J9" t="s">
        <v>274</v>
      </c>
      <c r="K9" t="s">
        <v>275</v>
      </c>
      <c r="L9">
        <v>1356</v>
      </c>
      <c r="N9">
        <v>1010</v>
      </c>
      <c r="O9" t="s">
        <v>276</v>
      </c>
      <c r="P9" t="s">
        <v>276</v>
      </c>
      <c r="Q9">
        <v>1000</v>
      </c>
      <c r="X9">
        <v>5.04</v>
      </c>
      <c r="Y9">
        <v>1752.6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5.04</v>
      </c>
      <c r="AH9">
        <v>2</v>
      </c>
      <c r="AI9">
        <v>8798053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8798054</v>
      </c>
      <c r="C10">
        <v>8797950</v>
      </c>
      <c r="D10">
        <v>5470416</v>
      </c>
      <c r="E10">
        <v>1</v>
      </c>
      <c r="F10">
        <v>1</v>
      </c>
      <c r="G10">
        <v>1</v>
      </c>
      <c r="H10">
        <v>3</v>
      </c>
      <c r="I10" t="s">
        <v>277</v>
      </c>
      <c r="J10" t="s">
        <v>278</v>
      </c>
      <c r="K10" t="s">
        <v>279</v>
      </c>
      <c r="L10">
        <v>1339</v>
      </c>
      <c r="N10">
        <v>1007</v>
      </c>
      <c r="O10" t="s">
        <v>31</v>
      </c>
      <c r="P10" t="s">
        <v>31</v>
      </c>
      <c r="Q10">
        <v>1</v>
      </c>
      <c r="X10">
        <v>0.3</v>
      </c>
      <c r="Y10">
        <v>2.44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0.3</v>
      </c>
      <c r="AH10">
        <v>2</v>
      </c>
      <c r="AI10">
        <v>8798054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8798056</v>
      </c>
      <c r="C11">
        <v>8797962</v>
      </c>
      <c r="D11">
        <v>5515368</v>
      </c>
      <c r="E11">
        <v>1</v>
      </c>
      <c r="F11">
        <v>1</v>
      </c>
      <c r="G11">
        <v>1</v>
      </c>
      <c r="H11">
        <v>1</v>
      </c>
      <c r="I11" t="s">
        <v>280</v>
      </c>
      <c r="K11" t="s">
        <v>281</v>
      </c>
      <c r="L11">
        <v>1369</v>
      </c>
      <c r="N11">
        <v>1013</v>
      </c>
      <c r="O11" t="s">
        <v>251</v>
      </c>
      <c r="P11" t="s">
        <v>251</v>
      </c>
      <c r="Q11">
        <v>1</v>
      </c>
      <c r="X11">
        <v>5.21</v>
      </c>
      <c r="Y11">
        <v>0</v>
      </c>
      <c r="Z11">
        <v>0</v>
      </c>
      <c r="AA11">
        <v>0</v>
      </c>
      <c r="AB11">
        <v>8.31</v>
      </c>
      <c r="AC11">
        <v>0</v>
      </c>
      <c r="AD11">
        <v>1</v>
      </c>
      <c r="AE11">
        <v>1</v>
      </c>
      <c r="AG11">
        <v>5.21</v>
      </c>
      <c r="AH11">
        <v>2</v>
      </c>
      <c r="AI11">
        <v>8798056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8798057</v>
      </c>
      <c r="C12">
        <v>8797962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28</v>
      </c>
      <c r="K12" t="s">
        <v>252</v>
      </c>
      <c r="L12">
        <v>608254</v>
      </c>
      <c r="N12">
        <v>1013</v>
      </c>
      <c r="O12" t="s">
        <v>253</v>
      </c>
      <c r="P12" t="s">
        <v>253</v>
      </c>
      <c r="Q12">
        <v>1</v>
      </c>
      <c r="X12">
        <v>0.4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G12">
        <v>0.4</v>
      </c>
      <c r="AH12">
        <v>2</v>
      </c>
      <c r="AI12">
        <v>8798057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8798058</v>
      </c>
      <c r="C13">
        <v>8797962</v>
      </c>
      <c r="D13">
        <v>5493705</v>
      </c>
      <c r="E13">
        <v>1</v>
      </c>
      <c r="F13">
        <v>1</v>
      </c>
      <c r="G13">
        <v>1</v>
      </c>
      <c r="H13">
        <v>2</v>
      </c>
      <c r="I13" t="s">
        <v>254</v>
      </c>
      <c r="J13" t="s">
        <v>255</v>
      </c>
      <c r="K13" t="s">
        <v>256</v>
      </c>
      <c r="L13">
        <v>1368</v>
      </c>
      <c r="N13">
        <v>1011</v>
      </c>
      <c r="O13" t="s">
        <v>257</v>
      </c>
      <c r="P13" t="s">
        <v>257</v>
      </c>
      <c r="Q13">
        <v>1</v>
      </c>
      <c r="X13">
        <v>0.4</v>
      </c>
      <c r="Y13">
        <v>0</v>
      </c>
      <c r="Z13">
        <v>86.4</v>
      </c>
      <c r="AA13">
        <v>13.5</v>
      </c>
      <c r="AB13">
        <v>0</v>
      </c>
      <c r="AC13">
        <v>0</v>
      </c>
      <c r="AD13">
        <v>1</v>
      </c>
      <c r="AE13">
        <v>0</v>
      </c>
      <c r="AG13">
        <v>0.4</v>
      </c>
      <c r="AH13">
        <v>2</v>
      </c>
      <c r="AI13">
        <v>8798058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8798059</v>
      </c>
      <c r="C14">
        <v>8797962</v>
      </c>
      <c r="D14">
        <v>5444409</v>
      </c>
      <c r="E14">
        <v>1</v>
      </c>
      <c r="F14">
        <v>1</v>
      </c>
      <c r="G14">
        <v>1</v>
      </c>
      <c r="H14">
        <v>3</v>
      </c>
      <c r="I14" t="s">
        <v>264</v>
      </c>
      <c r="J14" t="s">
        <v>265</v>
      </c>
      <c r="K14" t="s">
        <v>266</v>
      </c>
      <c r="L14">
        <v>1339</v>
      </c>
      <c r="N14">
        <v>1007</v>
      </c>
      <c r="O14" t="s">
        <v>31</v>
      </c>
      <c r="P14" t="s">
        <v>31</v>
      </c>
      <c r="Q14">
        <v>1</v>
      </c>
      <c r="X14">
        <v>0.0005</v>
      </c>
      <c r="Y14">
        <v>1056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0.0005</v>
      </c>
      <c r="AH14">
        <v>2</v>
      </c>
      <c r="AI14">
        <v>8798059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8798060</v>
      </c>
      <c r="C15">
        <v>8797962</v>
      </c>
      <c r="D15">
        <v>5467875</v>
      </c>
      <c r="E15">
        <v>1</v>
      </c>
      <c r="F15">
        <v>1</v>
      </c>
      <c r="G15">
        <v>1</v>
      </c>
      <c r="H15">
        <v>3</v>
      </c>
      <c r="I15" t="s">
        <v>282</v>
      </c>
      <c r="J15" t="s">
        <v>283</v>
      </c>
      <c r="K15" t="s">
        <v>284</v>
      </c>
      <c r="L15">
        <v>1339</v>
      </c>
      <c r="N15">
        <v>1007</v>
      </c>
      <c r="O15" t="s">
        <v>31</v>
      </c>
      <c r="P15" t="s">
        <v>31</v>
      </c>
      <c r="Q15">
        <v>1</v>
      </c>
      <c r="X15">
        <v>0.234</v>
      </c>
      <c r="Y15">
        <v>519.8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0.234</v>
      </c>
      <c r="AH15">
        <v>2</v>
      </c>
      <c r="AI15">
        <v>8798060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8798061</v>
      </c>
      <c r="C16">
        <v>8797962</v>
      </c>
      <c r="D16">
        <v>5468604</v>
      </c>
      <c r="E16">
        <v>1</v>
      </c>
      <c r="F16">
        <v>1</v>
      </c>
      <c r="G16">
        <v>1</v>
      </c>
      <c r="H16">
        <v>3</v>
      </c>
      <c r="I16" t="s">
        <v>273</v>
      </c>
      <c r="J16" t="s">
        <v>274</v>
      </c>
      <c r="K16" t="s">
        <v>275</v>
      </c>
      <c r="L16">
        <v>1356</v>
      </c>
      <c r="N16">
        <v>1010</v>
      </c>
      <c r="O16" t="s">
        <v>276</v>
      </c>
      <c r="P16" t="s">
        <v>276</v>
      </c>
      <c r="Q16">
        <v>1000</v>
      </c>
      <c r="X16">
        <v>0.395</v>
      </c>
      <c r="Y16">
        <v>1752.6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0.395</v>
      </c>
      <c r="AH16">
        <v>2</v>
      </c>
      <c r="AI16">
        <v>8798061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8798062</v>
      </c>
      <c r="C17">
        <v>8797962</v>
      </c>
      <c r="D17">
        <v>5470416</v>
      </c>
      <c r="E17">
        <v>1</v>
      </c>
      <c r="F17">
        <v>1</v>
      </c>
      <c r="G17">
        <v>1</v>
      </c>
      <c r="H17">
        <v>3</v>
      </c>
      <c r="I17" t="s">
        <v>277</v>
      </c>
      <c r="J17" t="s">
        <v>278</v>
      </c>
      <c r="K17" t="s">
        <v>279</v>
      </c>
      <c r="L17">
        <v>1339</v>
      </c>
      <c r="N17">
        <v>1007</v>
      </c>
      <c r="O17" t="s">
        <v>31</v>
      </c>
      <c r="P17" t="s">
        <v>31</v>
      </c>
      <c r="Q17">
        <v>1</v>
      </c>
      <c r="X17">
        <v>0.44</v>
      </c>
      <c r="Y17">
        <v>2.44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0.44</v>
      </c>
      <c r="AH17">
        <v>2</v>
      </c>
      <c r="AI17">
        <v>8798062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ROW(Source!A30)</f>
        <v>30</v>
      </c>
      <c r="B18">
        <v>8798066</v>
      </c>
      <c r="C18">
        <v>8797988</v>
      </c>
      <c r="D18">
        <v>5514105</v>
      </c>
      <c r="E18">
        <v>1</v>
      </c>
      <c r="F18">
        <v>1</v>
      </c>
      <c r="G18">
        <v>1</v>
      </c>
      <c r="H18">
        <v>1</v>
      </c>
      <c r="I18" t="s">
        <v>285</v>
      </c>
      <c r="K18" t="s">
        <v>286</v>
      </c>
      <c r="L18">
        <v>1369</v>
      </c>
      <c r="N18">
        <v>1013</v>
      </c>
      <c r="O18" t="s">
        <v>251</v>
      </c>
      <c r="P18" t="s">
        <v>251</v>
      </c>
      <c r="Q18">
        <v>1</v>
      </c>
      <c r="X18">
        <v>100.71</v>
      </c>
      <c r="Y18">
        <v>0</v>
      </c>
      <c r="Z18">
        <v>0</v>
      </c>
      <c r="AA18">
        <v>0</v>
      </c>
      <c r="AB18">
        <v>9.41</v>
      </c>
      <c r="AC18">
        <v>0</v>
      </c>
      <c r="AD18">
        <v>1</v>
      </c>
      <c r="AE18">
        <v>1</v>
      </c>
      <c r="AG18">
        <v>100.71</v>
      </c>
      <c r="AH18">
        <v>2</v>
      </c>
      <c r="AI18">
        <v>8798066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ROW(Source!A30)</f>
        <v>30</v>
      </c>
      <c r="B19">
        <v>8798067</v>
      </c>
      <c r="C19">
        <v>8797988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28</v>
      </c>
      <c r="K19" t="s">
        <v>252</v>
      </c>
      <c r="L19">
        <v>608254</v>
      </c>
      <c r="N19">
        <v>1013</v>
      </c>
      <c r="O19" t="s">
        <v>253</v>
      </c>
      <c r="P19" t="s">
        <v>253</v>
      </c>
      <c r="Q19">
        <v>1</v>
      </c>
      <c r="X19">
        <v>2.94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G19">
        <v>2.94</v>
      </c>
      <c r="AH19">
        <v>2</v>
      </c>
      <c r="AI19">
        <v>8798067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ROW(Source!A30)</f>
        <v>30</v>
      </c>
      <c r="B20">
        <v>8798068</v>
      </c>
      <c r="C20">
        <v>8797988</v>
      </c>
      <c r="D20">
        <v>5493705</v>
      </c>
      <c r="E20">
        <v>1</v>
      </c>
      <c r="F20">
        <v>1</v>
      </c>
      <c r="G20">
        <v>1</v>
      </c>
      <c r="H20">
        <v>2</v>
      </c>
      <c r="I20" t="s">
        <v>254</v>
      </c>
      <c r="J20" t="s">
        <v>255</v>
      </c>
      <c r="K20" t="s">
        <v>256</v>
      </c>
      <c r="L20">
        <v>1368</v>
      </c>
      <c r="N20">
        <v>1011</v>
      </c>
      <c r="O20" t="s">
        <v>257</v>
      </c>
      <c r="P20" t="s">
        <v>257</v>
      </c>
      <c r="Q20">
        <v>1</v>
      </c>
      <c r="X20">
        <v>1.95</v>
      </c>
      <c r="Y20">
        <v>0</v>
      </c>
      <c r="Z20">
        <v>86.4</v>
      </c>
      <c r="AA20">
        <v>13.5</v>
      </c>
      <c r="AB20">
        <v>0</v>
      </c>
      <c r="AC20">
        <v>0</v>
      </c>
      <c r="AD20">
        <v>1</v>
      </c>
      <c r="AE20">
        <v>0</v>
      </c>
      <c r="AG20">
        <v>1.95</v>
      </c>
      <c r="AH20">
        <v>2</v>
      </c>
      <c r="AI20">
        <v>8798068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ROW(Source!A30)</f>
        <v>30</v>
      </c>
      <c r="B21">
        <v>8798069</v>
      </c>
      <c r="C21">
        <v>8797988</v>
      </c>
      <c r="D21">
        <v>5496870</v>
      </c>
      <c r="E21">
        <v>1</v>
      </c>
      <c r="F21">
        <v>1</v>
      </c>
      <c r="G21">
        <v>1</v>
      </c>
      <c r="H21">
        <v>2</v>
      </c>
      <c r="I21" t="s">
        <v>258</v>
      </c>
      <c r="J21" t="s">
        <v>259</v>
      </c>
      <c r="K21" t="s">
        <v>260</v>
      </c>
      <c r="L21">
        <v>1368</v>
      </c>
      <c r="N21">
        <v>1011</v>
      </c>
      <c r="O21" t="s">
        <v>257</v>
      </c>
      <c r="P21" t="s">
        <v>257</v>
      </c>
      <c r="Q21">
        <v>1</v>
      </c>
      <c r="X21">
        <v>0.99</v>
      </c>
      <c r="Y21">
        <v>0</v>
      </c>
      <c r="Z21">
        <v>75.4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0.99</v>
      </c>
      <c r="AH21">
        <v>2</v>
      </c>
      <c r="AI21">
        <v>8798069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ROW(Source!A30)</f>
        <v>30</v>
      </c>
      <c r="B22">
        <v>8798070</v>
      </c>
      <c r="C22">
        <v>8797988</v>
      </c>
      <c r="D22">
        <v>5441801</v>
      </c>
      <c r="E22">
        <v>1</v>
      </c>
      <c r="F22">
        <v>1</v>
      </c>
      <c r="G22">
        <v>1</v>
      </c>
      <c r="H22">
        <v>3</v>
      </c>
      <c r="I22" t="s">
        <v>287</v>
      </c>
      <c r="J22" t="s">
        <v>288</v>
      </c>
      <c r="K22" t="s">
        <v>289</v>
      </c>
      <c r="L22">
        <v>1327</v>
      </c>
      <c r="N22">
        <v>1005</v>
      </c>
      <c r="O22" t="s">
        <v>290</v>
      </c>
      <c r="P22" t="s">
        <v>290</v>
      </c>
      <c r="Q22">
        <v>1</v>
      </c>
      <c r="X22">
        <v>101.2</v>
      </c>
      <c r="Y22">
        <v>245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101.2</v>
      </c>
      <c r="AH22">
        <v>2</v>
      </c>
      <c r="AI22">
        <v>8798070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ROW(Source!A30)</f>
        <v>30</v>
      </c>
      <c r="B23">
        <v>8798071</v>
      </c>
      <c r="C23">
        <v>8797988</v>
      </c>
      <c r="D23">
        <v>5443477</v>
      </c>
      <c r="E23">
        <v>1</v>
      </c>
      <c r="F23">
        <v>1</v>
      </c>
      <c r="G23">
        <v>1</v>
      </c>
      <c r="H23">
        <v>3</v>
      </c>
      <c r="I23" t="s">
        <v>291</v>
      </c>
      <c r="J23" t="s">
        <v>292</v>
      </c>
      <c r="K23" t="s">
        <v>293</v>
      </c>
      <c r="L23">
        <v>1348</v>
      </c>
      <c r="N23">
        <v>1009</v>
      </c>
      <c r="O23" t="s">
        <v>42</v>
      </c>
      <c r="P23" t="s">
        <v>42</v>
      </c>
      <c r="Q23">
        <v>1000</v>
      </c>
      <c r="X23">
        <v>0.18</v>
      </c>
      <c r="Y23">
        <v>13560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0.18</v>
      </c>
      <c r="AH23">
        <v>2</v>
      </c>
      <c r="AI23">
        <v>8798071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ROW(Source!A30)</f>
        <v>30</v>
      </c>
      <c r="B24">
        <v>8798072</v>
      </c>
      <c r="C24">
        <v>8797988</v>
      </c>
      <c r="D24">
        <v>5447295</v>
      </c>
      <c r="E24">
        <v>1</v>
      </c>
      <c r="F24">
        <v>1</v>
      </c>
      <c r="G24">
        <v>1</v>
      </c>
      <c r="H24">
        <v>3</v>
      </c>
      <c r="I24" t="s">
        <v>294</v>
      </c>
      <c r="J24" t="s">
        <v>295</v>
      </c>
      <c r="K24" t="s">
        <v>296</v>
      </c>
      <c r="L24">
        <v>1327</v>
      </c>
      <c r="N24">
        <v>1005</v>
      </c>
      <c r="O24" t="s">
        <v>290</v>
      </c>
      <c r="P24" t="s">
        <v>290</v>
      </c>
      <c r="Q24">
        <v>1</v>
      </c>
      <c r="X24">
        <v>7.2</v>
      </c>
      <c r="Y24">
        <v>149.56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7.2</v>
      </c>
      <c r="AH24">
        <v>2</v>
      </c>
      <c r="AI24">
        <v>8798072</v>
      </c>
      <c r="AJ24">
        <v>25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ROW(Source!A30)</f>
        <v>30</v>
      </c>
      <c r="B25">
        <v>8798073</v>
      </c>
      <c r="C25">
        <v>8797988</v>
      </c>
      <c r="D25">
        <v>5470416</v>
      </c>
      <c r="E25">
        <v>1</v>
      </c>
      <c r="F25">
        <v>1</v>
      </c>
      <c r="G25">
        <v>1</v>
      </c>
      <c r="H25">
        <v>3</v>
      </c>
      <c r="I25" t="s">
        <v>277</v>
      </c>
      <c r="J25" t="s">
        <v>278</v>
      </c>
      <c r="K25" t="s">
        <v>279</v>
      </c>
      <c r="L25">
        <v>1339</v>
      </c>
      <c r="N25">
        <v>1007</v>
      </c>
      <c r="O25" t="s">
        <v>31</v>
      </c>
      <c r="P25" t="s">
        <v>31</v>
      </c>
      <c r="Q25">
        <v>1</v>
      </c>
      <c r="X25">
        <v>0.075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0.075</v>
      </c>
      <c r="AH25">
        <v>2</v>
      </c>
      <c r="AI25">
        <v>8798073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ROW(Source!A51)</f>
        <v>51</v>
      </c>
      <c r="B26">
        <v>8798077</v>
      </c>
      <c r="C26">
        <v>8798027</v>
      </c>
      <c r="D26">
        <v>5515368</v>
      </c>
      <c r="E26">
        <v>1</v>
      </c>
      <c r="F26">
        <v>1</v>
      </c>
      <c r="G26">
        <v>1</v>
      </c>
      <c r="H26">
        <v>1</v>
      </c>
      <c r="I26" t="s">
        <v>280</v>
      </c>
      <c r="K26" t="s">
        <v>281</v>
      </c>
      <c r="L26">
        <v>1369</v>
      </c>
      <c r="N26">
        <v>1013</v>
      </c>
      <c r="O26" t="s">
        <v>251</v>
      </c>
      <c r="P26" t="s">
        <v>251</v>
      </c>
      <c r="Q26">
        <v>1</v>
      </c>
      <c r="X26">
        <v>5.21</v>
      </c>
      <c r="Y26">
        <v>0</v>
      </c>
      <c r="Z26">
        <v>0</v>
      </c>
      <c r="AA26">
        <v>0</v>
      </c>
      <c r="AB26">
        <v>8.31</v>
      </c>
      <c r="AC26">
        <v>0</v>
      </c>
      <c r="AD26">
        <v>1</v>
      </c>
      <c r="AE26">
        <v>1</v>
      </c>
      <c r="AG26">
        <v>5.21</v>
      </c>
      <c r="AH26">
        <v>2</v>
      </c>
      <c r="AI26">
        <v>8798077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ROW(Source!A51)</f>
        <v>51</v>
      </c>
      <c r="B27">
        <v>8798078</v>
      </c>
      <c r="C27">
        <v>8798027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28</v>
      </c>
      <c r="K27" t="s">
        <v>252</v>
      </c>
      <c r="L27">
        <v>608254</v>
      </c>
      <c r="N27">
        <v>1013</v>
      </c>
      <c r="O27" t="s">
        <v>253</v>
      </c>
      <c r="P27" t="s">
        <v>253</v>
      </c>
      <c r="Q27">
        <v>1</v>
      </c>
      <c r="X27">
        <v>0.4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G27">
        <v>0.4</v>
      </c>
      <c r="AH27">
        <v>2</v>
      </c>
      <c r="AI27">
        <v>8798078</v>
      </c>
      <c r="AJ27">
        <v>28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ROW(Source!A51)</f>
        <v>51</v>
      </c>
      <c r="B28">
        <v>8798079</v>
      </c>
      <c r="C28">
        <v>8798027</v>
      </c>
      <c r="D28">
        <v>5493705</v>
      </c>
      <c r="E28">
        <v>1</v>
      </c>
      <c r="F28">
        <v>1</v>
      </c>
      <c r="G28">
        <v>1</v>
      </c>
      <c r="H28">
        <v>2</v>
      </c>
      <c r="I28" t="s">
        <v>254</v>
      </c>
      <c r="J28" t="s">
        <v>255</v>
      </c>
      <c r="K28" t="s">
        <v>256</v>
      </c>
      <c r="L28">
        <v>1368</v>
      </c>
      <c r="N28">
        <v>1011</v>
      </c>
      <c r="O28" t="s">
        <v>257</v>
      </c>
      <c r="P28" t="s">
        <v>257</v>
      </c>
      <c r="Q28">
        <v>1</v>
      </c>
      <c r="X28">
        <v>0.4</v>
      </c>
      <c r="Y28">
        <v>0</v>
      </c>
      <c r="Z28">
        <v>86.4</v>
      </c>
      <c r="AA28">
        <v>13.5</v>
      </c>
      <c r="AB28">
        <v>0</v>
      </c>
      <c r="AC28">
        <v>0</v>
      </c>
      <c r="AD28">
        <v>1</v>
      </c>
      <c r="AE28">
        <v>0</v>
      </c>
      <c r="AG28">
        <v>0.4</v>
      </c>
      <c r="AH28">
        <v>2</v>
      </c>
      <c r="AI28">
        <v>8798079</v>
      </c>
      <c r="AJ28">
        <v>29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ROW(Source!A51)</f>
        <v>51</v>
      </c>
      <c r="B29">
        <v>8798080</v>
      </c>
      <c r="C29">
        <v>8798027</v>
      </c>
      <c r="D29">
        <v>5444409</v>
      </c>
      <c r="E29">
        <v>1</v>
      </c>
      <c r="F29">
        <v>1</v>
      </c>
      <c r="G29">
        <v>1</v>
      </c>
      <c r="H29">
        <v>3</v>
      </c>
      <c r="I29" t="s">
        <v>264</v>
      </c>
      <c r="J29" t="s">
        <v>265</v>
      </c>
      <c r="K29" t="s">
        <v>266</v>
      </c>
      <c r="L29">
        <v>1339</v>
      </c>
      <c r="N29">
        <v>1007</v>
      </c>
      <c r="O29" t="s">
        <v>31</v>
      </c>
      <c r="P29" t="s">
        <v>31</v>
      </c>
      <c r="Q29">
        <v>1</v>
      </c>
      <c r="X29">
        <v>0.0005</v>
      </c>
      <c r="Y29">
        <v>1056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0.0005</v>
      </c>
      <c r="AH29">
        <v>2</v>
      </c>
      <c r="AI29">
        <v>8798080</v>
      </c>
      <c r="AJ29">
        <v>30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ROW(Source!A51)</f>
        <v>51</v>
      </c>
      <c r="B30">
        <v>8798081</v>
      </c>
      <c r="C30">
        <v>8798027</v>
      </c>
      <c r="D30">
        <v>5467875</v>
      </c>
      <c r="E30">
        <v>1</v>
      </c>
      <c r="F30">
        <v>1</v>
      </c>
      <c r="G30">
        <v>1</v>
      </c>
      <c r="H30">
        <v>3</v>
      </c>
      <c r="I30" t="s">
        <v>282</v>
      </c>
      <c r="J30" t="s">
        <v>283</v>
      </c>
      <c r="K30" t="s">
        <v>284</v>
      </c>
      <c r="L30">
        <v>1339</v>
      </c>
      <c r="N30">
        <v>1007</v>
      </c>
      <c r="O30" t="s">
        <v>31</v>
      </c>
      <c r="P30" t="s">
        <v>31</v>
      </c>
      <c r="Q30">
        <v>1</v>
      </c>
      <c r="X30">
        <v>0.234</v>
      </c>
      <c r="Y30">
        <v>519.8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0.234</v>
      </c>
      <c r="AH30">
        <v>2</v>
      </c>
      <c r="AI30">
        <v>8798081</v>
      </c>
      <c r="AJ30">
        <v>31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ROW(Source!A51)</f>
        <v>51</v>
      </c>
      <c r="B31">
        <v>8798082</v>
      </c>
      <c r="C31">
        <v>8798027</v>
      </c>
      <c r="D31">
        <v>5468604</v>
      </c>
      <c r="E31">
        <v>1</v>
      </c>
      <c r="F31">
        <v>1</v>
      </c>
      <c r="G31">
        <v>1</v>
      </c>
      <c r="H31">
        <v>3</v>
      </c>
      <c r="I31" t="s">
        <v>273</v>
      </c>
      <c r="J31" t="s">
        <v>274</v>
      </c>
      <c r="K31" t="s">
        <v>275</v>
      </c>
      <c r="L31">
        <v>1356</v>
      </c>
      <c r="N31">
        <v>1010</v>
      </c>
      <c r="O31" t="s">
        <v>276</v>
      </c>
      <c r="P31" t="s">
        <v>276</v>
      </c>
      <c r="Q31">
        <v>1000</v>
      </c>
      <c r="X31">
        <v>0.395</v>
      </c>
      <c r="Y31">
        <v>1752.6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0.395</v>
      </c>
      <c r="AH31">
        <v>2</v>
      </c>
      <c r="AI31">
        <v>8798082</v>
      </c>
      <c r="AJ31">
        <v>32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ROW(Source!A51)</f>
        <v>51</v>
      </c>
      <c r="B32">
        <v>8798083</v>
      </c>
      <c r="C32">
        <v>8798027</v>
      </c>
      <c r="D32">
        <v>5470416</v>
      </c>
      <c r="E32">
        <v>1</v>
      </c>
      <c r="F32">
        <v>1</v>
      </c>
      <c r="G32">
        <v>1</v>
      </c>
      <c r="H32">
        <v>3</v>
      </c>
      <c r="I32" t="s">
        <v>277</v>
      </c>
      <c r="J32" t="s">
        <v>278</v>
      </c>
      <c r="K32" t="s">
        <v>279</v>
      </c>
      <c r="L32">
        <v>1339</v>
      </c>
      <c r="N32">
        <v>1007</v>
      </c>
      <c r="O32" t="s">
        <v>31</v>
      </c>
      <c r="P32" t="s">
        <v>31</v>
      </c>
      <c r="Q32">
        <v>1</v>
      </c>
      <c r="X32">
        <v>0.44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0.44</v>
      </c>
      <c r="AH32">
        <v>2</v>
      </c>
      <c r="AI32">
        <v>8798083</v>
      </c>
      <c r="AJ32">
        <v>33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ROW(Source!A52)</f>
        <v>52</v>
      </c>
      <c r="B33">
        <v>8798084</v>
      </c>
      <c r="C33">
        <v>8798036</v>
      </c>
      <c r="D33">
        <v>5514154</v>
      </c>
      <c r="E33">
        <v>1</v>
      </c>
      <c r="F33">
        <v>1</v>
      </c>
      <c r="G33">
        <v>1</v>
      </c>
      <c r="H33">
        <v>1</v>
      </c>
      <c r="I33" t="s">
        <v>297</v>
      </c>
      <c r="K33" t="s">
        <v>298</v>
      </c>
      <c r="L33">
        <v>1369</v>
      </c>
      <c r="N33">
        <v>1013</v>
      </c>
      <c r="O33" t="s">
        <v>251</v>
      </c>
      <c r="P33" t="s">
        <v>251</v>
      </c>
      <c r="Q33">
        <v>1</v>
      </c>
      <c r="X33">
        <v>117.72</v>
      </c>
      <c r="Y33">
        <v>0</v>
      </c>
      <c r="Z33">
        <v>0</v>
      </c>
      <c r="AA33">
        <v>0</v>
      </c>
      <c r="AB33">
        <v>9.08</v>
      </c>
      <c r="AC33">
        <v>0</v>
      </c>
      <c r="AD33">
        <v>1</v>
      </c>
      <c r="AE33">
        <v>1</v>
      </c>
      <c r="AG33">
        <v>117.72</v>
      </c>
      <c r="AH33">
        <v>2</v>
      </c>
      <c r="AI33">
        <v>8798084</v>
      </c>
      <c r="AJ33">
        <v>34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ROW(Source!A52)</f>
        <v>52</v>
      </c>
      <c r="B34">
        <v>8798085</v>
      </c>
      <c r="C34">
        <v>8798036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28</v>
      </c>
      <c r="K34" t="s">
        <v>252</v>
      </c>
      <c r="L34">
        <v>608254</v>
      </c>
      <c r="N34">
        <v>1013</v>
      </c>
      <c r="O34" t="s">
        <v>253</v>
      </c>
      <c r="P34" t="s">
        <v>253</v>
      </c>
      <c r="Q34">
        <v>1</v>
      </c>
      <c r="X34">
        <v>1.47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G34">
        <v>1.47</v>
      </c>
      <c r="AH34">
        <v>2</v>
      </c>
      <c r="AI34">
        <v>8798085</v>
      </c>
      <c r="AJ34">
        <v>35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ROW(Source!A52)</f>
        <v>52</v>
      </c>
      <c r="B35">
        <v>8798086</v>
      </c>
      <c r="C35">
        <v>8798036</v>
      </c>
      <c r="D35">
        <v>5493882</v>
      </c>
      <c r="E35">
        <v>1</v>
      </c>
      <c r="F35">
        <v>1</v>
      </c>
      <c r="G35">
        <v>1</v>
      </c>
      <c r="H35">
        <v>2</v>
      </c>
      <c r="I35" t="s">
        <v>299</v>
      </c>
      <c r="J35" t="s">
        <v>300</v>
      </c>
      <c r="K35" t="s">
        <v>301</v>
      </c>
      <c r="L35">
        <v>1368</v>
      </c>
      <c r="N35">
        <v>1011</v>
      </c>
      <c r="O35" t="s">
        <v>257</v>
      </c>
      <c r="P35" t="s">
        <v>257</v>
      </c>
      <c r="Q35">
        <v>1</v>
      </c>
      <c r="X35">
        <v>0.59</v>
      </c>
      <c r="Y35">
        <v>0</v>
      </c>
      <c r="Z35">
        <v>112</v>
      </c>
      <c r="AA35">
        <v>13.5</v>
      </c>
      <c r="AB35">
        <v>0</v>
      </c>
      <c r="AC35">
        <v>0</v>
      </c>
      <c r="AD35">
        <v>1</v>
      </c>
      <c r="AE35">
        <v>0</v>
      </c>
      <c r="AG35">
        <v>0.59</v>
      </c>
      <c r="AH35">
        <v>2</v>
      </c>
      <c r="AI35">
        <v>8798086</v>
      </c>
      <c r="AJ35">
        <v>36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ROW(Source!A52)</f>
        <v>52</v>
      </c>
      <c r="B36">
        <v>8798087</v>
      </c>
      <c r="C36">
        <v>8798036</v>
      </c>
      <c r="D36">
        <v>5496870</v>
      </c>
      <c r="E36">
        <v>1</v>
      </c>
      <c r="F36">
        <v>1</v>
      </c>
      <c r="G36">
        <v>1</v>
      </c>
      <c r="H36">
        <v>2</v>
      </c>
      <c r="I36" t="s">
        <v>258</v>
      </c>
      <c r="J36" t="s">
        <v>259</v>
      </c>
      <c r="K36" t="s">
        <v>260</v>
      </c>
      <c r="L36">
        <v>1368</v>
      </c>
      <c r="N36">
        <v>1011</v>
      </c>
      <c r="O36" t="s">
        <v>257</v>
      </c>
      <c r="P36" t="s">
        <v>257</v>
      </c>
      <c r="Q36">
        <v>1</v>
      </c>
      <c r="X36">
        <v>0.88</v>
      </c>
      <c r="Y36">
        <v>0</v>
      </c>
      <c r="Z36">
        <v>75.4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0.88</v>
      </c>
      <c r="AH36">
        <v>2</v>
      </c>
      <c r="AI36">
        <v>8798087</v>
      </c>
      <c r="AJ36">
        <v>37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ROW(Source!A52)</f>
        <v>52</v>
      </c>
      <c r="B37">
        <v>8798088</v>
      </c>
      <c r="C37">
        <v>8798036</v>
      </c>
      <c r="D37">
        <v>5467855</v>
      </c>
      <c r="E37">
        <v>1</v>
      </c>
      <c r="F37">
        <v>1</v>
      </c>
      <c r="G37">
        <v>1</v>
      </c>
      <c r="H37">
        <v>3</v>
      </c>
      <c r="I37" t="s">
        <v>302</v>
      </c>
      <c r="J37" t="s">
        <v>303</v>
      </c>
      <c r="K37" t="s">
        <v>304</v>
      </c>
      <c r="L37">
        <v>1339</v>
      </c>
      <c r="N37">
        <v>1007</v>
      </c>
      <c r="O37" t="s">
        <v>31</v>
      </c>
      <c r="P37" t="s">
        <v>31</v>
      </c>
      <c r="Q37">
        <v>1</v>
      </c>
      <c r="X37">
        <v>0.25</v>
      </c>
      <c r="Y37">
        <v>485.9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0.25</v>
      </c>
      <c r="AH37">
        <v>2</v>
      </c>
      <c r="AI37">
        <v>8798088</v>
      </c>
      <c r="AJ37">
        <v>38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ROW(Source!A52)</f>
        <v>52</v>
      </c>
      <c r="B38">
        <v>8798089</v>
      </c>
      <c r="C38">
        <v>8798036</v>
      </c>
      <c r="D38">
        <v>5473917</v>
      </c>
      <c r="E38">
        <v>1</v>
      </c>
      <c r="F38">
        <v>1</v>
      </c>
      <c r="G38">
        <v>1</v>
      </c>
      <c r="H38">
        <v>3</v>
      </c>
      <c r="I38" t="s">
        <v>305</v>
      </c>
      <c r="J38" t="s">
        <v>306</v>
      </c>
      <c r="K38" t="s">
        <v>307</v>
      </c>
      <c r="L38">
        <v>1301</v>
      </c>
      <c r="N38">
        <v>1003</v>
      </c>
      <c r="O38" t="s">
        <v>308</v>
      </c>
      <c r="P38" t="s">
        <v>308</v>
      </c>
      <c r="Q38">
        <v>1</v>
      </c>
      <c r="X38">
        <v>100</v>
      </c>
      <c r="Y38">
        <v>139.33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100</v>
      </c>
      <c r="AH38">
        <v>2</v>
      </c>
      <c r="AI38">
        <v>8798089</v>
      </c>
      <c r="AJ38">
        <v>39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ROW(Source!A53)</f>
        <v>53</v>
      </c>
      <c r="B39">
        <v>8798091</v>
      </c>
      <c r="C39">
        <v>8798090</v>
      </c>
      <c r="D39">
        <v>5517677</v>
      </c>
      <c r="E39">
        <v>1</v>
      </c>
      <c r="F39">
        <v>1</v>
      </c>
      <c r="G39">
        <v>1</v>
      </c>
      <c r="H39">
        <v>1</v>
      </c>
      <c r="I39" t="s">
        <v>309</v>
      </c>
      <c r="K39" t="s">
        <v>310</v>
      </c>
      <c r="L39">
        <v>1369</v>
      </c>
      <c r="N39">
        <v>1013</v>
      </c>
      <c r="O39" t="s">
        <v>251</v>
      </c>
      <c r="P39" t="s">
        <v>251</v>
      </c>
      <c r="Q39">
        <v>1</v>
      </c>
      <c r="X39">
        <v>951.08</v>
      </c>
      <c r="Y39">
        <v>0</v>
      </c>
      <c r="Z39">
        <v>0</v>
      </c>
      <c r="AA39">
        <v>0</v>
      </c>
      <c r="AB39">
        <v>8.64</v>
      </c>
      <c r="AC39">
        <v>0</v>
      </c>
      <c r="AD39">
        <v>1</v>
      </c>
      <c r="AE39">
        <v>1</v>
      </c>
      <c r="AG39">
        <v>951.08</v>
      </c>
      <c r="AH39">
        <v>2</v>
      </c>
      <c r="AI39">
        <v>8798091</v>
      </c>
      <c r="AJ39">
        <v>40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ROW(Source!A53)</f>
        <v>53</v>
      </c>
      <c r="B40">
        <v>8798092</v>
      </c>
      <c r="C40">
        <v>8798090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28</v>
      </c>
      <c r="K40" t="s">
        <v>252</v>
      </c>
      <c r="L40">
        <v>608254</v>
      </c>
      <c r="N40">
        <v>1013</v>
      </c>
      <c r="O40" t="s">
        <v>253</v>
      </c>
      <c r="P40" t="s">
        <v>253</v>
      </c>
      <c r="Q40">
        <v>1</v>
      </c>
      <c r="X40">
        <v>31.17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G40">
        <v>31.17</v>
      </c>
      <c r="AH40">
        <v>2</v>
      </c>
      <c r="AI40">
        <v>8798092</v>
      </c>
      <c r="AJ40">
        <v>41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ROW(Source!A53)</f>
        <v>53</v>
      </c>
      <c r="B41">
        <v>8798093</v>
      </c>
      <c r="C41">
        <v>8798090</v>
      </c>
      <c r="D41">
        <v>5493705</v>
      </c>
      <c r="E41">
        <v>1</v>
      </c>
      <c r="F41">
        <v>1</v>
      </c>
      <c r="G41">
        <v>1</v>
      </c>
      <c r="H41">
        <v>2</v>
      </c>
      <c r="I41" t="s">
        <v>254</v>
      </c>
      <c r="J41" t="s">
        <v>255</v>
      </c>
      <c r="K41" t="s">
        <v>256</v>
      </c>
      <c r="L41">
        <v>1368</v>
      </c>
      <c r="N41">
        <v>1011</v>
      </c>
      <c r="O41" t="s">
        <v>257</v>
      </c>
      <c r="P41" t="s">
        <v>257</v>
      </c>
      <c r="Q41">
        <v>1</v>
      </c>
      <c r="X41">
        <v>28.56</v>
      </c>
      <c r="Y41">
        <v>0</v>
      </c>
      <c r="Z41">
        <v>86.4</v>
      </c>
      <c r="AA41">
        <v>13.5</v>
      </c>
      <c r="AB41">
        <v>0</v>
      </c>
      <c r="AC41">
        <v>0</v>
      </c>
      <c r="AD41">
        <v>1</v>
      </c>
      <c r="AE41">
        <v>0</v>
      </c>
      <c r="AG41">
        <v>28.56</v>
      </c>
      <c r="AH41">
        <v>2</v>
      </c>
      <c r="AI41">
        <v>8798093</v>
      </c>
      <c r="AJ41">
        <v>42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ROW(Source!A53)</f>
        <v>53</v>
      </c>
      <c r="B42">
        <v>8798094</v>
      </c>
      <c r="C42">
        <v>8798090</v>
      </c>
      <c r="D42">
        <v>5493882</v>
      </c>
      <c r="E42">
        <v>1</v>
      </c>
      <c r="F42">
        <v>1</v>
      </c>
      <c r="G42">
        <v>1</v>
      </c>
      <c r="H42">
        <v>2</v>
      </c>
      <c r="I42" t="s">
        <v>299</v>
      </c>
      <c r="J42" t="s">
        <v>300</v>
      </c>
      <c r="K42" t="s">
        <v>301</v>
      </c>
      <c r="L42">
        <v>1368</v>
      </c>
      <c r="N42">
        <v>1011</v>
      </c>
      <c r="O42" t="s">
        <v>257</v>
      </c>
      <c r="P42" t="s">
        <v>257</v>
      </c>
      <c r="Q42">
        <v>1</v>
      </c>
      <c r="X42">
        <v>0.94</v>
      </c>
      <c r="Y42">
        <v>0</v>
      </c>
      <c r="Z42">
        <v>112</v>
      </c>
      <c r="AA42">
        <v>13.5</v>
      </c>
      <c r="AB42">
        <v>0</v>
      </c>
      <c r="AC42">
        <v>0</v>
      </c>
      <c r="AD42">
        <v>1</v>
      </c>
      <c r="AE42">
        <v>0</v>
      </c>
      <c r="AG42">
        <v>0.94</v>
      </c>
      <c r="AH42">
        <v>2</v>
      </c>
      <c r="AI42">
        <v>8798094</v>
      </c>
      <c r="AJ42">
        <v>43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ROW(Source!A53)</f>
        <v>53</v>
      </c>
      <c r="B43">
        <v>8798095</v>
      </c>
      <c r="C43">
        <v>8798090</v>
      </c>
      <c r="D43">
        <v>5494044</v>
      </c>
      <c r="E43">
        <v>1</v>
      </c>
      <c r="F43">
        <v>1</v>
      </c>
      <c r="G43">
        <v>1</v>
      </c>
      <c r="H43">
        <v>2</v>
      </c>
      <c r="I43" t="s">
        <v>311</v>
      </c>
      <c r="J43" t="s">
        <v>312</v>
      </c>
      <c r="K43" t="s">
        <v>313</v>
      </c>
      <c r="L43">
        <v>1368</v>
      </c>
      <c r="N43">
        <v>1011</v>
      </c>
      <c r="O43" t="s">
        <v>257</v>
      </c>
      <c r="P43" t="s">
        <v>257</v>
      </c>
      <c r="Q43">
        <v>1</v>
      </c>
      <c r="X43">
        <v>0.27</v>
      </c>
      <c r="Y43">
        <v>0</v>
      </c>
      <c r="Z43">
        <v>90</v>
      </c>
      <c r="AA43">
        <v>10.06</v>
      </c>
      <c r="AB43">
        <v>0</v>
      </c>
      <c r="AC43">
        <v>0</v>
      </c>
      <c r="AD43">
        <v>1</v>
      </c>
      <c r="AE43">
        <v>0</v>
      </c>
      <c r="AG43">
        <v>0.27</v>
      </c>
      <c r="AH43">
        <v>2</v>
      </c>
      <c r="AI43">
        <v>8798095</v>
      </c>
      <c r="AJ43">
        <v>44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ROW(Source!A53)</f>
        <v>53</v>
      </c>
      <c r="B44">
        <v>8798096</v>
      </c>
      <c r="C44">
        <v>8798090</v>
      </c>
      <c r="D44">
        <v>5495003</v>
      </c>
      <c r="E44">
        <v>1</v>
      </c>
      <c r="F44">
        <v>1</v>
      </c>
      <c r="G44">
        <v>1</v>
      </c>
      <c r="H44">
        <v>2</v>
      </c>
      <c r="I44" t="s">
        <v>314</v>
      </c>
      <c r="J44" t="s">
        <v>315</v>
      </c>
      <c r="K44" t="s">
        <v>316</v>
      </c>
      <c r="L44">
        <v>1368</v>
      </c>
      <c r="N44">
        <v>1011</v>
      </c>
      <c r="O44" t="s">
        <v>257</v>
      </c>
      <c r="P44" t="s">
        <v>257</v>
      </c>
      <c r="Q44">
        <v>1</v>
      </c>
      <c r="X44">
        <v>47.96</v>
      </c>
      <c r="Y44">
        <v>0</v>
      </c>
      <c r="Z44">
        <v>0.5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47.96</v>
      </c>
      <c r="AH44">
        <v>2</v>
      </c>
      <c r="AI44">
        <v>8798096</v>
      </c>
      <c r="AJ44">
        <v>45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ROW(Source!A53)</f>
        <v>53</v>
      </c>
      <c r="B45">
        <v>8798097</v>
      </c>
      <c r="C45">
        <v>8798090</v>
      </c>
      <c r="D45">
        <v>5496502</v>
      </c>
      <c r="E45">
        <v>1</v>
      </c>
      <c r="F45">
        <v>1</v>
      </c>
      <c r="G45">
        <v>1</v>
      </c>
      <c r="H45">
        <v>2</v>
      </c>
      <c r="I45" t="s">
        <v>317</v>
      </c>
      <c r="J45" t="s">
        <v>318</v>
      </c>
      <c r="K45" t="s">
        <v>319</v>
      </c>
      <c r="L45">
        <v>1368</v>
      </c>
      <c r="N45">
        <v>1011</v>
      </c>
      <c r="O45" t="s">
        <v>257</v>
      </c>
      <c r="P45" t="s">
        <v>257</v>
      </c>
      <c r="Q45">
        <v>1</v>
      </c>
      <c r="X45">
        <v>4.6</v>
      </c>
      <c r="Y45">
        <v>0</v>
      </c>
      <c r="Z45">
        <v>3.27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4.6</v>
      </c>
      <c r="AH45">
        <v>2</v>
      </c>
      <c r="AI45">
        <v>8798097</v>
      </c>
      <c r="AJ45">
        <v>46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ROW(Source!A53)</f>
        <v>53</v>
      </c>
      <c r="B46">
        <v>8798098</v>
      </c>
      <c r="C46">
        <v>8798090</v>
      </c>
      <c r="D46">
        <v>5496870</v>
      </c>
      <c r="E46">
        <v>1</v>
      </c>
      <c r="F46">
        <v>1</v>
      </c>
      <c r="G46">
        <v>1</v>
      </c>
      <c r="H46">
        <v>2</v>
      </c>
      <c r="I46" t="s">
        <v>258</v>
      </c>
      <c r="J46" t="s">
        <v>259</v>
      </c>
      <c r="K46" t="s">
        <v>260</v>
      </c>
      <c r="L46">
        <v>1368</v>
      </c>
      <c r="N46">
        <v>1011</v>
      </c>
      <c r="O46" t="s">
        <v>257</v>
      </c>
      <c r="P46" t="s">
        <v>257</v>
      </c>
      <c r="Q46">
        <v>1</v>
      </c>
      <c r="X46">
        <v>1.4</v>
      </c>
      <c r="Y46">
        <v>0</v>
      </c>
      <c r="Z46">
        <v>75.4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1.4</v>
      </c>
      <c r="AH46">
        <v>2</v>
      </c>
      <c r="AI46">
        <v>8798098</v>
      </c>
      <c r="AJ46">
        <v>47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ROW(Source!A53)</f>
        <v>53</v>
      </c>
      <c r="B47">
        <v>8798099</v>
      </c>
      <c r="C47">
        <v>8798090</v>
      </c>
      <c r="D47">
        <v>5440985</v>
      </c>
      <c r="E47">
        <v>1</v>
      </c>
      <c r="F47">
        <v>1</v>
      </c>
      <c r="G47">
        <v>1</v>
      </c>
      <c r="H47">
        <v>3</v>
      </c>
      <c r="I47" t="s">
        <v>320</v>
      </c>
      <c r="J47" t="s">
        <v>321</v>
      </c>
      <c r="K47" t="s">
        <v>322</v>
      </c>
      <c r="L47">
        <v>1348</v>
      </c>
      <c r="N47">
        <v>1009</v>
      </c>
      <c r="O47" t="s">
        <v>42</v>
      </c>
      <c r="P47" t="s">
        <v>42</v>
      </c>
      <c r="Q47">
        <v>1000</v>
      </c>
      <c r="X47">
        <v>0.086</v>
      </c>
      <c r="Y47">
        <v>734.5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0.086</v>
      </c>
      <c r="AH47">
        <v>2</v>
      </c>
      <c r="AI47">
        <v>8798099</v>
      </c>
      <c r="AJ47">
        <v>48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ROW(Source!A53)</f>
        <v>53</v>
      </c>
      <c r="B48">
        <v>8798100</v>
      </c>
      <c r="C48">
        <v>8798090</v>
      </c>
      <c r="D48">
        <v>5441877</v>
      </c>
      <c r="E48">
        <v>1</v>
      </c>
      <c r="F48">
        <v>1</v>
      </c>
      <c r="G48">
        <v>1</v>
      </c>
      <c r="H48">
        <v>3</v>
      </c>
      <c r="I48" t="s">
        <v>323</v>
      </c>
      <c r="J48" t="s">
        <v>324</v>
      </c>
      <c r="K48" t="s">
        <v>325</v>
      </c>
      <c r="L48">
        <v>1348</v>
      </c>
      <c r="N48">
        <v>1009</v>
      </c>
      <c r="O48" t="s">
        <v>42</v>
      </c>
      <c r="P48" t="s">
        <v>42</v>
      </c>
      <c r="Q48">
        <v>1000</v>
      </c>
      <c r="X48">
        <v>0.0116</v>
      </c>
      <c r="Y48">
        <v>10200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0.0116</v>
      </c>
      <c r="AH48">
        <v>2</v>
      </c>
      <c r="AI48">
        <v>8798100</v>
      </c>
      <c r="AJ48">
        <v>49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ROW(Source!A53)</f>
        <v>53</v>
      </c>
      <c r="B49">
        <v>8798101</v>
      </c>
      <c r="C49">
        <v>8798090</v>
      </c>
      <c r="D49">
        <v>5443289</v>
      </c>
      <c r="E49">
        <v>1</v>
      </c>
      <c r="F49">
        <v>1</v>
      </c>
      <c r="G49">
        <v>1</v>
      </c>
      <c r="H49">
        <v>3</v>
      </c>
      <c r="I49" t="s">
        <v>326</v>
      </c>
      <c r="J49" t="s">
        <v>327</v>
      </c>
      <c r="K49" t="s">
        <v>328</v>
      </c>
      <c r="L49">
        <v>1330</v>
      </c>
      <c r="N49">
        <v>1005</v>
      </c>
      <c r="O49" t="s">
        <v>329</v>
      </c>
      <c r="P49" t="s">
        <v>329</v>
      </c>
      <c r="Q49">
        <v>10</v>
      </c>
      <c r="X49">
        <v>4.29</v>
      </c>
      <c r="Y49">
        <v>84.75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4.29</v>
      </c>
      <c r="AH49">
        <v>2</v>
      </c>
      <c r="AI49">
        <v>8798101</v>
      </c>
      <c r="AJ49">
        <v>50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ROW(Source!A53)</f>
        <v>53</v>
      </c>
      <c r="B50">
        <v>8798102</v>
      </c>
      <c r="C50">
        <v>8798090</v>
      </c>
      <c r="D50">
        <v>5443308</v>
      </c>
      <c r="E50">
        <v>1</v>
      </c>
      <c r="F50">
        <v>1</v>
      </c>
      <c r="G50">
        <v>1</v>
      </c>
      <c r="H50">
        <v>3</v>
      </c>
      <c r="I50" t="s">
        <v>330</v>
      </c>
      <c r="J50" t="s">
        <v>331</v>
      </c>
      <c r="K50" t="s">
        <v>332</v>
      </c>
      <c r="L50">
        <v>1348</v>
      </c>
      <c r="N50">
        <v>1009</v>
      </c>
      <c r="O50" t="s">
        <v>42</v>
      </c>
      <c r="P50" t="s">
        <v>42</v>
      </c>
      <c r="Q50">
        <v>1000</v>
      </c>
      <c r="X50">
        <v>0.079</v>
      </c>
      <c r="Y50">
        <v>11978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0.079</v>
      </c>
      <c r="AH50">
        <v>2</v>
      </c>
      <c r="AI50">
        <v>8798102</v>
      </c>
      <c r="AJ50">
        <v>51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ROW(Source!A53)</f>
        <v>53</v>
      </c>
      <c r="B51">
        <v>8798103</v>
      </c>
      <c r="C51">
        <v>8798090</v>
      </c>
      <c r="D51">
        <v>5444407</v>
      </c>
      <c r="E51">
        <v>1</v>
      </c>
      <c r="F51">
        <v>1</v>
      </c>
      <c r="G51">
        <v>1</v>
      </c>
      <c r="H51">
        <v>3</v>
      </c>
      <c r="I51" t="s">
        <v>333</v>
      </c>
      <c r="J51" t="s">
        <v>334</v>
      </c>
      <c r="K51" t="s">
        <v>335</v>
      </c>
      <c r="L51">
        <v>1339</v>
      </c>
      <c r="N51">
        <v>1007</v>
      </c>
      <c r="O51" t="s">
        <v>31</v>
      </c>
      <c r="P51" t="s">
        <v>31</v>
      </c>
      <c r="Q51">
        <v>1</v>
      </c>
      <c r="X51">
        <v>6.22</v>
      </c>
      <c r="Y51">
        <v>1287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6.22</v>
      </c>
      <c r="AH51">
        <v>2</v>
      </c>
      <c r="AI51">
        <v>8798103</v>
      </c>
      <c r="AJ51">
        <v>52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ROW(Source!A53)</f>
        <v>53</v>
      </c>
      <c r="B52">
        <v>8798104</v>
      </c>
      <c r="C52">
        <v>8798090</v>
      </c>
      <c r="D52">
        <v>5444421</v>
      </c>
      <c r="E52">
        <v>1</v>
      </c>
      <c r="F52">
        <v>1</v>
      </c>
      <c r="G52">
        <v>1</v>
      </c>
      <c r="H52">
        <v>3</v>
      </c>
      <c r="I52" t="s">
        <v>336</v>
      </c>
      <c r="J52" t="s">
        <v>337</v>
      </c>
      <c r="K52" t="s">
        <v>338</v>
      </c>
      <c r="L52">
        <v>1339</v>
      </c>
      <c r="N52">
        <v>1007</v>
      </c>
      <c r="O52" t="s">
        <v>31</v>
      </c>
      <c r="P52" t="s">
        <v>31</v>
      </c>
      <c r="Q52">
        <v>1</v>
      </c>
      <c r="X52">
        <v>0.99</v>
      </c>
      <c r="Y52">
        <v>2156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0.99</v>
      </c>
      <c r="AH52">
        <v>2</v>
      </c>
      <c r="AI52">
        <v>8798104</v>
      </c>
      <c r="AJ52">
        <v>53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ROW(Source!A53)</f>
        <v>53</v>
      </c>
      <c r="B53">
        <v>8798105</v>
      </c>
      <c r="C53">
        <v>8798090</v>
      </c>
      <c r="D53">
        <v>5444465</v>
      </c>
      <c r="E53">
        <v>1</v>
      </c>
      <c r="F53">
        <v>1</v>
      </c>
      <c r="G53">
        <v>1</v>
      </c>
      <c r="H53">
        <v>3</v>
      </c>
      <c r="I53" t="s">
        <v>339</v>
      </c>
      <c r="J53" t="s">
        <v>340</v>
      </c>
      <c r="K53" t="s">
        <v>341</v>
      </c>
      <c r="L53">
        <v>1339</v>
      </c>
      <c r="N53">
        <v>1007</v>
      </c>
      <c r="O53" t="s">
        <v>31</v>
      </c>
      <c r="P53" t="s">
        <v>31</v>
      </c>
      <c r="Q53">
        <v>1</v>
      </c>
      <c r="X53">
        <v>0.53</v>
      </c>
      <c r="Y53">
        <v>1100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0.53</v>
      </c>
      <c r="AH53">
        <v>2</v>
      </c>
      <c r="AI53">
        <v>8798105</v>
      </c>
      <c r="AJ53">
        <v>54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ROW(Source!A53)</f>
        <v>53</v>
      </c>
      <c r="B54">
        <v>8798106</v>
      </c>
      <c r="C54">
        <v>8798090</v>
      </c>
      <c r="D54">
        <v>5444478</v>
      </c>
      <c r="E54">
        <v>1</v>
      </c>
      <c r="F54">
        <v>1</v>
      </c>
      <c r="G54">
        <v>1</v>
      </c>
      <c r="H54">
        <v>3</v>
      </c>
      <c r="I54" t="s">
        <v>342</v>
      </c>
      <c r="J54" t="s">
        <v>343</v>
      </c>
      <c r="K54" t="s">
        <v>344</v>
      </c>
      <c r="L54">
        <v>1339</v>
      </c>
      <c r="N54">
        <v>1007</v>
      </c>
      <c r="O54" t="s">
        <v>31</v>
      </c>
      <c r="P54" t="s">
        <v>31</v>
      </c>
      <c r="Q54">
        <v>1</v>
      </c>
      <c r="X54">
        <v>2.61</v>
      </c>
      <c r="Y54">
        <v>1056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2.61</v>
      </c>
      <c r="AH54">
        <v>2</v>
      </c>
      <c r="AI54">
        <v>8798106</v>
      </c>
      <c r="AJ54">
        <v>55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ROW(Source!A53)</f>
        <v>53</v>
      </c>
      <c r="B55">
        <v>8798107</v>
      </c>
      <c r="C55">
        <v>8798090</v>
      </c>
      <c r="D55">
        <v>5457354</v>
      </c>
      <c r="E55">
        <v>1</v>
      </c>
      <c r="F55">
        <v>1</v>
      </c>
      <c r="G55">
        <v>1</v>
      </c>
      <c r="H55">
        <v>3</v>
      </c>
      <c r="I55" t="s">
        <v>345</v>
      </c>
      <c r="J55" t="s">
        <v>346</v>
      </c>
      <c r="K55" t="s">
        <v>347</v>
      </c>
      <c r="L55">
        <v>1348</v>
      </c>
      <c r="N55">
        <v>1009</v>
      </c>
      <c r="O55" t="s">
        <v>42</v>
      </c>
      <c r="P55" t="s">
        <v>42</v>
      </c>
      <c r="Q55">
        <v>1000</v>
      </c>
      <c r="X55">
        <v>0.5</v>
      </c>
      <c r="Y55">
        <v>8060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0.5</v>
      </c>
      <c r="AH55">
        <v>2</v>
      </c>
      <c r="AI55">
        <v>8798107</v>
      </c>
      <c r="AJ55">
        <v>56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ROW(Source!A53)</f>
        <v>53</v>
      </c>
      <c r="B56">
        <v>8798108</v>
      </c>
      <c r="C56">
        <v>8798090</v>
      </c>
      <c r="D56">
        <v>5458980</v>
      </c>
      <c r="E56">
        <v>1</v>
      </c>
      <c r="F56">
        <v>1</v>
      </c>
      <c r="G56">
        <v>1</v>
      </c>
      <c r="H56">
        <v>3</v>
      </c>
      <c r="I56" t="s">
        <v>348</v>
      </c>
      <c r="J56" t="s">
        <v>349</v>
      </c>
      <c r="K56" t="s">
        <v>350</v>
      </c>
      <c r="L56">
        <v>1327</v>
      </c>
      <c r="N56">
        <v>1005</v>
      </c>
      <c r="O56" t="s">
        <v>290</v>
      </c>
      <c r="P56" t="s">
        <v>290</v>
      </c>
      <c r="Q56">
        <v>1</v>
      </c>
      <c r="X56">
        <v>86.1</v>
      </c>
      <c r="Y56">
        <v>35.53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86.1</v>
      </c>
      <c r="AH56">
        <v>2</v>
      </c>
      <c r="AI56">
        <v>8798108</v>
      </c>
      <c r="AJ56">
        <v>57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ROW(Source!A53)</f>
        <v>53</v>
      </c>
      <c r="B57">
        <v>8798109</v>
      </c>
      <c r="C57">
        <v>8798090</v>
      </c>
      <c r="D57">
        <v>5458987</v>
      </c>
      <c r="E57">
        <v>1</v>
      </c>
      <c r="F57">
        <v>1</v>
      </c>
      <c r="G57">
        <v>1</v>
      </c>
      <c r="H57">
        <v>3</v>
      </c>
      <c r="I57" t="s">
        <v>351</v>
      </c>
      <c r="J57" t="s">
        <v>352</v>
      </c>
      <c r="K57" t="s">
        <v>353</v>
      </c>
      <c r="L57">
        <v>1354</v>
      </c>
      <c r="N57">
        <v>1010</v>
      </c>
      <c r="O57" t="s">
        <v>354</v>
      </c>
      <c r="P57" t="s">
        <v>354</v>
      </c>
      <c r="Q57">
        <v>1</v>
      </c>
      <c r="X57">
        <v>2.8</v>
      </c>
      <c r="Y57">
        <v>1010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2.8</v>
      </c>
      <c r="AH57">
        <v>2</v>
      </c>
      <c r="AI57">
        <v>8798109</v>
      </c>
      <c r="AJ57">
        <v>58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ROW(Source!A53)</f>
        <v>53</v>
      </c>
      <c r="B58">
        <v>8798110</v>
      </c>
      <c r="C58">
        <v>8798090</v>
      </c>
      <c r="D58">
        <v>5459281</v>
      </c>
      <c r="E58">
        <v>1</v>
      </c>
      <c r="F58">
        <v>1</v>
      </c>
      <c r="G58">
        <v>1</v>
      </c>
      <c r="H58">
        <v>3</v>
      </c>
      <c r="I58" t="s">
        <v>267</v>
      </c>
      <c r="J58" t="s">
        <v>268</v>
      </c>
      <c r="K58" t="s">
        <v>269</v>
      </c>
      <c r="L58">
        <v>1348</v>
      </c>
      <c r="N58">
        <v>1009</v>
      </c>
      <c r="O58" t="s">
        <v>42</v>
      </c>
      <c r="P58" t="s">
        <v>42</v>
      </c>
      <c r="Q58">
        <v>1000</v>
      </c>
      <c r="X58">
        <v>7.66</v>
      </c>
      <c r="Y58">
        <v>5650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7.66</v>
      </c>
      <c r="AH58">
        <v>2</v>
      </c>
      <c r="AI58">
        <v>8798110</v>
      </c>
      <c r="AJ58">
        <v>59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ROW(Source!A53)</f>
        <v>53</v>
      </c>
      <c r="B59">
        <v>8798111</v>
      </c>
      <c r="C59">
        <v>8798090</v>
      </c>
      <c r="D59">
        <v>5467008</v>
      </c>
      <c r="E59">
        <v>1</v>
      </c>
      <c r="F59">
        <v>1</v>
      </c>
      <c r="G59">
        <v>1</v>
      </c>
      <c r="H59">
        <v>3</v>
      </c>
      <c r="I59" t="s">
        <v>89</v>
      </c>
      <c r="J59" t="s">
        <v>91</v>
      </c>
      <c r="K59" t="s">
        <v>90</v>
      </c>
      <c r="L59">
        <v>1339</v>
      </c>
      <c r="N59">
        <v>1007</v>
      </c>
      <c r="O59" t="s">
        <v>31</v>
      </c>
      <c r="P59" t="s">
        <v>31</v>
      </c>
      <c r="Q59">
        <v>1</v>
      </c>
      <c r="X59">
        <v>101.5</v>
      </c>
      <c r="Y59">
        <v>665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101.5</v>
      </c>
      <c r="AH59">
        <v>2</v>
      </c>
      <c r="AI59">
        <v>8798111</v>
      </c>
      <c r="AJ59">
        <v>60</v>
      </c>
      <c r="AK59">
        <v>3</v>
      </c>
      <c r="AL59">
        <v>-67497.5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ht="12.75">
      <c r="A60">
        <f>ROW(Source!A53)</f>
        <v>53</v>
      </c>
      <c r="B60">
        <v>8798112</v>
      </c>
      <c r="C60">
        <v>8798090</v>
      </c>
      <c r="D60">
        <v>5470416</v>
      </c>
      <c r="E60">
        <v>1</v>
      </c>
      <c r="F60">
        <v>1</v>
      </c>
      <c r="G60">
        <v>1</v>
      </c>
      <c r="H60">
        <v>3</v>
      </c>
      <c r="I60" t="s">
        <v>277</v>
      </c>
      <c r="J60" t="s">
        <v>278</v>
      </c>
      <c r="K60" t="s">
        <v>279</v>
      </c>
      <c r="L60">
        <v>1339</v>
      </c>
      <c r="N60">
        <v>1007</v>
      </c>
      <c r="O60" t="s">
        <v>31</v>
      </c>
      <c r="P60" t="s">
        <v>31</v>
      </c>
      <c r="Q60">
        <v>1</v>
      </c>
      <c r="X60">
        <v>0.257</v>
      </c>
      <c r="Y60">
        <v>2.44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0.257</v>
      </c>
      <c r="AH60">
        <v>2</v>
      </c>
      <c r="AI60">
        <v>8798112</v>
      </c>
      <c r="AJ60">
        <v>61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Kompanichenko</cp:lastModifiedBy>
  <dcterms:modified xsi:type="dcterms:W3CDTF">2008-12-25T12:58:28Z</dcterms:modified>
  <cp:category/>
  <cp:version/>
  <cp:contentType/>
  <cp:contentStatus/>
</cp:coreProperties>
</file>