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5" windowHeight="1155" activeTab="0"/>
  </bookViews>
  <sheets>
    <sheet name="Лист1" sheetId="1" r:id="rId1"/>
    <sheet name="Source" sheetId="2" r:id="rId2"/>
    <sheet name="SmtRes" sheetId="3" r:id="rId3"/>
    <sheet name="ClcRes" sheetId="4" r:id="rId4"/>
  </sheets>
  <definedNames>
    <definedName name="_xlnm.Print_Titles" localSheetId="0">'Лист1'!$26:$26</definedName>
    <definedName name="_xlnm.Print_Area" localSheetId="0">'Лист1'!$A$1:$L$203</definedName>
  </definedNames>
  <calcPr fullCalcOnLoad="1"/>
</workbook>
</file>

<file path=xl/sharedStrings.xml><?xml version="1.0" encoding="utf-8"?>
<sst xmlns="http://schemas.openxmlformats.org/spreadsheetml/2006/main" count="2042" uniqueCount="515">
  <si>
    <t>Smeta.ru  (095) 974-1589</t>
  </si>
  <si>
    <t>_PS_</t>
  </si>
  <si>
    <t>Smeta.ru</t>
  </si>
  <si>
    <t/>
  </si>
  <si>
    <t>Новый объект</t>
  </si>
  <si>
    <t>Монтаж подкрановых путей</t>
  </si>
  <si>
    <t>Мособлгосэкспертиза</t>
  </si>
  <si>
    <t>Сметные нормы списания</t>
  </si>
  <si>
    <t>Коды ценников</t>
  </si>
  <si>
    <t>ФЕР версия 2 с параметрами</t>
  </si>
  <si>
    <t>Тип. расчёт(с 0.94) для норм 2001 года  МДС 81.33-2004 и МДС 81.25-99</t>
  </si>
  <si>
    <t>Московская область</t>
  </si>
  <si>
    <t>Новая локальная смета</t>
  </si>
  <si>
    <t>{0F6668C3-3A64-496A-A297-5D418DEB9225}</t>
  </si>
  <si>
    <t>Новый раздел</t>
  </si>
  <si>
    <t>Подготовительные работы</t>
  </si>
  <si>
    <t>{95DFC76D-3787-4CAD-9DD3-2871B935EFF9}</t>
  </si>
  <si>
    <t>1</t>
  </si>
  <si>
    <t>27-12-010-4</t>
  </si>
  <si>
    <t>Разборка дорог из сборных железобетонных плит площадью: более 3 м2</t>
  </si>
  <si>
    <t>100 м3</t>
  </si>
  <si>
    <t>ТЕР Московской обл.,сб.27,гл.12,табл.010,поз.4</t>
  </si>
  <si>
    <t>100 м3 сборных железобетонных плит</t>
  </si>
  <si>
    <t>Общестроительные работы</t>
  </si>
  <si>
    <t>Автомобильные дороги</t>
  </si>
  <si>
    <t>21</t>
  </si>
  <si>
    <t>2</t>
  </si>
  <si>
    <t>68-14-1</t>
  </si>
  <si>
    <t>Разборка бортовых камней на бетонном основании</t>
  </si>
  <si>
    <t>100 м</t>
  </si>
  <si>
    <t>ТЕРр Московской обл.,сб.68,поз.14-1</t>
  </si>
  <si>
    <t>Ремонтно-строительные работы</t>
  </si>
  <si>
    <t>Благоустройство</t>
  </si>
  <si>
    <t>68</t>
  </si>
  <si>
    <t>3</t>
  </si>
  <si>
    <t>01-02-111-6</t>
  </si>
  <si>
    <t>Корчевка вручную пней диаметром от 360 до 400 мм</t>
  </si>
  <si>
    <t>100 шт,</t>
  </si>
  <si>
    <t>ТЕР Московской обл.,сб.01,гл.02,табл.111,поз.6</t>
  </si>
  <si>
    <t>100 пней</t>
  </si>
  <si>
    <t>Земляные работы,  выполняемые по другим видам работ (подгототовительным, сопутствутствующим, укрепительным)</t>
  </si>
  <si>
    <t>1-4</t>
  </si>
  <si>
    <t>4</t>
  </si>
  <si>
    <t>27-12-010-2</t>
  </si>
  <si>
    <t>Устройство дорог из сборных железобетонных плит площадью: более 3 м2</t>
  </si>
  <si>
    <t>ТЕР Московской обл.,сб.27,гл.12,табл.010,поз.2</t>
  </si>
  <si>
    <t>5</t>
  </si>
  <si>
    <t>01-01-013-8</t>
  </si>
  <si>
    <t>Разработка грунта с погрузкой на автомобили-самосвалы экскаваторами с ковшом вместимостью 0,65 (0,5-1) м3, группа грунтов 2</t>
  </si>
  <si>
    <t>1000 м3</t>
  </si>
  <si>
    <t>ТЕР Московской обл.,сб.01,гл.01,табл.013,поз.8</t>
  </si>
  <si>
    <t>1000 м3 грунта</t>
  </si>
  <si>
    <t>Земляные работы, выполняемые  механизированным способом</t>
  </si>
  <si>
    <t>1-1</t>
  </si>
  <si>
    <t>6</t>
  </si>
  <si>
    <t>Тех. часть</t>
  </si>
  <si>
    <t>Отвозка грунта на 1 км. (225 м3 * 1,8 т.= 405 т.)</t>
  </si>
  <si>
    <t>т</t>
  </si>
  <si>
    <t>Прочие работы</t>
  </si>
  <si>
    <t>прочие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</si>
  <si>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</si>
  <si>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</si>
  <si>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</si>
  <si>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</si>
  <si>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</si>
  <si>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</si>
  <si>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</si>
  <si>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</si>
  <si>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</si>
  <si>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</si>
  <si>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</si>
  <si>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</si>
  <si>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</si>
  <si>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</si>
  <si>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</si>
  <si>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</si>
  <si>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</si>
  <si>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</si>
  <si>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</si>
  <si>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</si>
  <si>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</si>
  <si>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</si>
  <si>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ИТОГ1</t>
  </si>
  <si>
    <t>ПРЯМЫЕ ЗАТРАТЫ</t>
  </si>
  <si>
    <t>ИТОГ2</t>
  </si>
  <si>
    <t>НАКЛАДНЫЕ  РАСХОДЫ</t>
  </si>
  <si>
    <t>ИТОГ3</t>
  </si>
  <si>
    <t>СМЕТНАЯ ПРИБЫЛЬ</t>
  </si>
  <si>
    <t>ИТОГ4</t>
  </si>
  <si>
    <t>ИТОГО</t>
  </si>
  <si>
    <t>труд</t>
  </si>
  <si>
    <t>Трудоемкость</t>
  </si>
  <si>
    <t>фот</t>
  </si>
  <si>
    <t>Фонд оплаты труда</t>
  </si>
  <si>
    <t>ЗУ</t>
  </si>
  <si>
    <t>ЗИМНЕЕ УДОРОЖАНИЕ %</t>
  </si>
  <si>
    <t>проставьте % ЗУ</t>
  </si>
  <si>
    <t>ИТОГ5</t>
  </si>
  <si>
    <t>С ЗИМНИМ УДОРОЖАНИЕМ</t>
  </si>
  <si>
    <t>ИТОГ6</t>
  </si>
  <si>
    <t>ВРЕМЕННЫЕ СООРУЖЕНИЯ %</t>
  </si>
  <si>
    <t>проставьте % временных сооружений</t>
  </si>
  <si>
    <t>ИТОГ7</t>
  </si>
  <si>
    <t>ИТОГО С ВРЕМЕННЫМИ</t>
  </si>
  <si>
    <t>ИТОГ8</t>
  </si>
  <si>
    <t>НДС 18%</t>
  </si>
  <si>
    <t>ВСЕГО</t>
  </si>
  <si>
    <t>Устройство основания</t>
  </si>
  <si>
    <t>{0B697C79-6510-4BDC-963D-7E43EAE01957}</t>
  </si>
  <si>
    <t>08-01-002-1</t>
  </si>
  <si>
    <t>Устройство основания под фундаменты песчаного</t>
  </si>
  <si>
    <t>1 м3</t>
  </si>
  <si>
    <t>ТЕР Московской обл.,сб.08,гл.01,табл.002,поз.1</t>
  </si>
  <si>
    <t>1 м3 основания</t>
  </si>
  <si>
    <t>Конструкции из кирпича и блоков в жилищно-гражданских зданиях</t>
  </si>
  <si>
    <t>8</t>
  </si>
  <si>
    <t>)*0,33</t>
  </si>
  <si>
    <t>Устройство подкрановых путей</t>
  </si>
  <si>
    <t>{5797E8F6-C4CB-43D2-BAA3-BB9018ED1197}</t>
  </si>
  <si>
    <t>21-03-001-9</t>
  </si>
  <si>
    <t>Устройство и разборка подкрановых путей для башенных кранов из инвентарных звеньев на деревянных полушпалах длиной 12,5м в две нити с рельсами типа Р50 шириной колеи до 6000мм на песчаном балласте</t>
  </si>
  <si>
    <t>1 звено (12,5 м)</t>
  </si>
  <si>
    <t>ТЕР Московской обл.сб.21,гл.03,табл.001,поз.9</t>
  </si>
  <si>
    <t>Временные сборно-разборные здания</t>
  </si>
  <si>
    <t>17</t>
  </si>
  <si>
    <t>21-03-003-3</t>
  </si>
  <si>
    <t>Устройство выключающей линейки на подкрановых путях для башенных кранов весом до 25 кг</t>
  </si>
  <si>
    <t>1 путь</t>
  </si>
  <si>
    <t>ТЕР Московской обл.сб.21,гл.03,табл.003,поз.3</t>
  </si>
  <si>
    <t>2,1</t>
  </si>
  <si>
    <t>201-0778</t>
  </si>
  <si>
    <t>Прочие индивидуальные сварные конструкции, масса сборочной единицы до 0.1 т</t>
  </si>
  <si>
    <t>ССЦ Московской обл.,сб.201,поз.0778</t>
  </si>
  <si>
    <t>21-03-004-1</t>
  </si>
  <si>
    <t>Устройство и разборка кабельных лотков на подкрановых путях для башенных кранов с изготовлением лотков в построечных условиях</t>
  </si>
  <si>
    <t>ТЕР Московской обл.сб.21,гл.03,табл.004,поз.1</t>
  </si>
  <si>
    <t>21-03-005-1</t>
  </si>
  <si>
    <t>Установка тупиковых упоров на подкрановых путях для башенных кранов</t>
  </si>
  <si>
    <t>ТЕР Московской обл.сб.21,гл.03,табл.005,поз.1</t>
  </si>
  <si>
    <t>4,1</t>
  </si>
  <si>
    <t>201-0630</t>
  </si>
  <si>
    <t>Упоры тупиков</t>
  </si>
  <si>
    <t>ССЦ Московской обл.,сб.201,поз.0630</t>
  </si>
  <si>
    <t>21-03-006-3</t>
  </si>
  <si>
    <t>Испытание башенного крана перед сдачей в эксплуатацию грузоподъемностью до 10т</t>
  </si>
  <si>
    <t>1 кран</t>
  </si>
  <si>
    <t>ТЕР Московской обл.сб.21,гл.03,табл.006,поз.3</t>
  </si>
  <si>
    <t>5,1</t>
  </si>
  <si>
    <t>411-0041</t>
  </si>
  <si>
    <t>Электроэнергия</t>
  </si>
  <si>
    <t>KВТ.Ч</t>
  </si>
  <si>
    <t>ССЦ Московской обл.,сб.411,поз.0041</t>
  </si>
  <si>
    <t>21-03-007-6</t>
  </si>
  <si>
    <t>Устройство заземления рельсового пути для башенных кранов в грунтах 2 группы при количестве очагов заземления два</t>
  </si>
  <si>
    <t>1 заземление</t>
  </si>
  <si>
    <t>ТЕР Московской обл.сб.21,гл.03,табл.007,поз.6</t>
  </si>
  <si>
    <t>0_085_к_СП</t>
  </si>
  <si>
    <t>Размер коэффициента к сумме СП при ремонте и реконструкции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</si>
  <si>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МДС 81-33(34).2004 пр.4 и К=0,85 к СП строит.работ письмо АП-5536/06 от 18.11.2004</t>
  </si>
  <si>
    <t>0_094_к_НР</t>
  </si>
  <si>
    <t>Размер коэффициента к НР по ПИСЬМУ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</si>
  <si>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ПИСЬМО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</si>
  <si>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0__тип_объекта</t>
  </si>
  <si>
    <t>1- новое строительство, 2 - ремонт и реконструкция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</si>
  <si>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К=0.9 к НР строит.раб.МДС 81-33(34).2004 пр.4</t>
  </si>
  <si>
    <t>0_источник_финансирования</t>
  </si>
  <si>
    <t>1 - внешние источники, 0 - хозрасчетный способ</t>
  </si>
  <si>
    <t>МДС 81-33.2004 п.4.9 при хозрасчете К=0.6 к НР.</t>
  </si>
  <si>
    <t>0_сложность</t>
  </si>
  <si>
    <t>1- Реконструкция объектов метрополитена, а также мостов, путепроводов, искусственных сооружений, относящихся к категории сложных, а также капитальном ремонте действующих атомных электростанций и других объектов с ядерными реакторами</t>
  </si>
  <si>
    <t>МДС 81-33.2004 примечание 2 и 5 Приложения 4. Реконструкция объектов метрополитена, а также мостов, путепроводов, искусственных сооружений, относящихся к категории сложных</t>
  </si>
  <si>
    <t>0_терр_коэфф</t>
  </si>
  <si>
    <t>Территориальный коэффициент</t>
  </si>
  <si>
    <t>применяется к ОЗП и ЗПМ.</t>
  </si>
  <si>
    <t>0_юр_лицо</t>
  </si>
  <si>
    <t>1 - юр.лицо, 0 - индивидуальный предприниматель</t>
  </si>
  <si>
    <t>МДС 81-33.2004 п.4.6 К=0.7 к НР при индив.предприн.; письмо АП-5536/06 К=0,9 к СП</t>
  </si>
  <si>
    <t>СУ_10</t>
  </si>
  <si>
    <t>Производство строительных и специальных строительных работ в подземных условиях в шахтах, рудниках, метрополитенах, тоннелях и других подземных сооружениях, в том числе специального назначения:</t>
  </si>
  <si>
    <t>В РАСЧЕТАХ НЕ ИСПОЛЬЗУЕТСЯ МДС 81-35.2004.Пр.1.с учетом письма № АП-3230/06 23.06.2004 табл.1. п.10</t>
  </si>
  <si>
    <t>СУ_10_1</t>
  </si>
  <si>
    <t>При отсутствии вредных условий производства работ, предусматривающих работу с сокращенным рабочим днем</t>
  </si>
  <si>
    <t>МДС 81-35.2004.Пр.1.с учетом письма № АП-3230/06 23.06.2004 табл.1. п.10.1</t>
  </si>
  <si>
    <t>СУ_10_2</t>
  </si>
  <si>
    <t>При наличии вредных условий производства работ и сокращенной рабочей неделе-36 часов</t>
  </si>
  <si>
    <t>МДС 81-35.2004.Пр.1.с учетом письма № АП-3230/06 23.06.2004 табл.1. п.10.2</t>
  </si>
  <si>
    <t>СУ_10_3</t>
  </si>
  <si>
    <t>При наличии вредных условий производства работ и сокращенной рабочей неделе-30 часов</t>
  </si>
  <si>
    <t>МДС 81-35.2004.Пр.1.с учетом письма № АП-3230/06 23.06.2004 табл.1. п.10.3</t>
  </si>
  <si>
    <t>СУ_10_4</t>
  </si>
  <si>
    <t>При наличии вредных условий производства работ и сокращенной рабочей неделе-24 часа</t>
  </si>
  <si>
    <t>МДС 81-35.2004.Пр.1.с учетом письма № АП-3230/06 23.06.2004 табл.1. п.10.4</t>
  </si>
  <si>
    <t>СУ_11</t>
  </si>
  <si>
    <t>Производство строительных и специальных строительных работ в эксплуатируемых тоннелях метрополитенов в ночное время «в окно»:</t>
  </si>
  <si>
    <t>СУ_11_1</t>
  </si>
  <si>
    <t>При использовании рабочих в течение рабочей смены только для выполнения работ, связанных с «окном»</t>
  </si>
  <si>
    <t>МДС 81-35.2004.Пр.1.с учетом письма № АП-3230/06 23.06.2004 табл.1. п.11.1</t>
  </si>
  <si>
    <t>СУ_11_2</t>
  </si>
  <si>
    <t>Производство строительных и специальных строительных работ в эксплуатируемых тоннелях метрополитенов в ночное время «в окно»:При использовании части рабочей смены (до пуска рабочих в тоннель и после выпуска из тоннеля) для выполнения работ, не с</t>
  </si>
  <si>
    <t>МДС 81-35.2004.Пр.1.с учетом письма № АП-3230/06 23.06.2004 табл.1. п.11.2</t>
  </si>
  <si>
    <t>СУ__1</t>
  </si>
  <si>
    <t>Пр-во строит.работ по возведению конструктивных элементов промышленных зданий и сооружений (фундаменты, элементы каркаса, стены, перекрытия и др.) внутри строящихся зданий при возведенной коробке здания, в случаях, когда это обосновано П</t>
  </si>
  <si>
    <t>МДС 81-35.2004.Пр.1.с учетом письма № АП-3230/06 23.06.2004 табл.1. п. 1.1</t>
  </si>
  <si>
    <t>СУ__2</t>
  </si>
  <si>
    <t>При использовании части рабочей смены (до пуска рабочих в тоннель и после выпуска из тоннеля) для выполнения работ, не связанных с «окном»</t>
  </si>
  <si>
    <t>МДС 81-35.2004.Пр.1.с учетом письма № АП-3230/06 23.06.2004 табл.1. п.2</t>
  </si>
  <si>
    <t>СУ__3</t>
  </si>
  <si>
    <t>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</t>
  </si>
  <si>
    <t>МДС 81-35.2004.Пр.1.с учетом письма № АП-3230/06 23.06.2004 табл.1. п.3</t>
  </si>
  <si>
    <t>СУ__3_1</t>
  </si>
  <si>
    <t>То же, при температуре воздуха на рабочем месте более 40 С в помещениях.</t>
  </si>
  <si>
    <t>МДС 81-35.2004.Пр.1.с учетом письма № АП-3230/06 23.06.2004 табл.1. п.3.1</t>
  </si>
  <si>
    <t>СУ__3_2</t>
  </si>
  <si>
    <t>То же, с вредными условиями труда,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</si>
  <si>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п.3.2</t>
  </si>
  <si>
    <t>СУ__3_2_1</t>
  </si>
  <si>
    <t>То же, без стесненных условий, но при наличии вредности</t>
  </si>
  <si>
    <t>МДС 81-35.2004.Пр.1.с учетом письма № АП-3230/06 23.06.2004 табл.1. п.3.2.1</t>
  </si>
  <si>
    <t>СУ__3_3</t>
  </si>
  <si>
    <t>То же, с вредными условиями труда, где рабочие-строители переведены на сокращенный рабочий день при 36-часовой рабочей неделе</t>
  </si>
  <si>
    <t>МДС 81-35.2004.Пр.1.с учетом письма № АП-3230/06 23.06.2004 табл.1. п.3.3</t>
  </si>
  <si>
    <t>СУ__3_3_1</t>
  </si>
  <si>
    <t>МДС 81-35.2004.Пр.1.с учетом письма № АП-3230/06 23.06.2004 табл.1. п.3.3.1</t>
  </si>
  <si>
    <t>СУ__3_4</t>
  </si>
  <si>
    <t>То же, с вредными условиями труда, где рабочие-строители переведены на сокращенный рабочий день при 30-часовой рабочей неделе</t>
  </si>
  <si>
    <t>МДС 81-35.2004.Пр.1.с учетом письма № АП-3230/06 23.06.2004 табл.1. п.3.4</t>
  </si>
  <si>
    <t>СУ__3_4_1</t>
  </si>
  <si>
    <t>Тоже без стесненных условий, но при наличии вредности</t>
  </si>
  <si>
    <t>МДС 81-35.2004.Пр.1.с учетом письма № АП-3230/06 23.06.2004 табл.1. п.3.4.1</t>
  </si>
  <si>
    <t>СУ__3_5</t>
  </si>
  <si>
    <t>То же, с вредными условиями труда при стесненности рабочих мест, где рабочие-строители переведены на сокращенный рабочий день при 24-часовой рабочей неделе</t>
  </si>
  <si>
    <t>МДС 81-35.2004.Пр.1.с учетом письма № АП-3230/06 23.06.2004 табл.1. п.3.5</t>
  </si>
  <si>
    <t>СУ__3_5_1</t>
  </si>
  <si>
    <t>МДС 81-35.2004.Пр.1.с учетом письма № АП-3230/06 23.06.2004 табл.1. п.3.5.1</t>
  </si>
  <si>
    <t>СУ__4</t>
  </si>
  <si>
    <t>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</t>
  </si>
  <si>
    <t>МДС 81-35.2004.Пр.1.с учетом письма № АП-3230/06 23.06.2004 табл.1. п.4</t>
  </si>
  <si>
    <t>СУ__4_1</t>
  </si>
  <si>
    <t>То же, с вредными условиями труда (наличие пара, пыли, вредных газов, дыма и т.п.),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</si>
  <si>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п.4.1</t>
  </si>
  <si>
    <t>СУ__5</t>
  </si>
  <si>
    <t>Производство строительных и других работ вблизи объектов, находящихся под высоким напряжением, в том числе в охранной зоне действующей воздушной линии электропередачи</t>
  </si>
  <si>
    <t>МДС 81-35.2004.Пр.1.с учетом письма № АП-3230/06 23.06.2004 табл.1. п.5</t>
  </si>
  <si>
    <t>СУ__6</t>
  </si>
  <si>
    <t>Производство строительных и других работ в закрытых сооружениях (помещениях) находящихся ниже 3 м от поверхности земли (кроме перечисленных в п.п.10,11).</t>
  </si>
  <si>
    <t>МДС 81-35.2004.Пр.1.с учетом письма № АП-3230/06 23.06.2004 табл.1. п.6</t>
  </si>
  <si>
    <t>СУ__7</t>
  </si>
  <si>
    <t>Строительство новых объектов в стесненных условиях: на территориях действующих предприятий, имеющих разветвленную сеть транспортных и инженерных коммуникаций и стесненные условия для складирования материалов.</t>
  </si>
  <si>
    <t>МДС 81-35.2004.Пр.1.с учетом письма № АП-3230/06 23.06.2004 табл.1. п.7</t>
  </si>
  <si>
    <t>СУ__8</t>
  </si>
  <si>
    <t>Строительство инженерных сетей и сооружений, а также объектов жилищно-гражданского назначения в стесненных условиях застроенной части города</t>
  </si>
  <si>
    <t>МДС 81-35.2004.Пр.1.с учетом письма № АП-3230/06 23.06.2004 табл.1. п.8</t>
  </si>
  <si>
    <t>СУ__9</t>
  </si>
  <si>
    <t>Строительство объектов в горной местности на высоте от 1500 до 2500 м над уровнем моря</t>
  </si>
  <si>
    <t>МДС 81-35.2004.Пр.1.с учетом письма № АП-3230/06 23.06.2004 табл.1. п.9</t>
  </si>
  <si>
    <t>СУ__9_1</t>
  </si>
  <si>
    <t>Строительство объектов в горной местности на высоте от 2500 до 3000 м над уровнем моря</t>
  </si>
  <si>
    <t>МДС 81-35.2004.Пр.1.с учетом письма № АП-3230/06 23.06.2004 табл.1. п.9.1</t>
  </si>
  <si>
    <t>СУ__9_2</t>
  </si>
  <si>
    <t>Строительство объектов в горной местности на высоте от 3000 до 3500 м над уровнем моря</t>
  </si>
  <si>
    <t>МДС 81-35.2004.Пр.1.с учетом письма № АП-3230/06 23.06.2004 табл.1. п.9.2</t>
  </si>
  <si>
    <t>СУ_т2_4_1</t>
  </si>
  <si>
    <t>То же, внутри работающих ТП и РП при наличии допусков</t>
  </si>
  <si>
    <t>МДС 81-35.2004.Пр.1.с учетом письма № АП-3230/06 23.06.2004 табл.2. п.3.4.1</t>
  </si>
  <si>
    <t>СУ_т3_11</t>
  </si>
  <si>
    <t>Ремонт отдельных конструктивных элементов зданий, расположенных в застроенном центре города:</t>
  </si>
  <si>
    <t>СУ_т3_11_1</t>
  </si>
  <si>
    <t>Ремонт фасадов</t>
  </si>
  <si>
    <t>МДС 81-35.2004.Пр.1.с учетом письма № АП-3230/06 23.06.2004 табл.3. п.11.1</t>
  </si>
  <si>
    <t>СУ_т3_11_2</t>
  </si>
  <si>
    <t>Ремонт сложных кровель</t>
  </si>
  <si>
    <t>МДС 81-35.2004.Пр.1.с учетом письма № АП-3230/06 23.06.2004 табл.3. п.11.2</t>
  </si>
  <si>
    <t>СУ_т3_11_3</t>
  </si>
  <si>
    <t>Ремонт дворового и прилегающего к зданиям благоустройства в центре городов</t>
  </si>
  <si>
    <t>МДС 81-35.2004.Пр.1.с учетом письма № АП-3230/06 23.06.2004 табл.3. п.11.3</t>
  </si>
  <si>
    <t>СУ_т3__6</t>
  </si>
  <si>
    <t>Ремонт существующих зданий (включая жилые дома) без расселения</t>
  </si>
  <si>
    <t>МДС 81-35.2004.Пр.1.с учетом письма № АП-3230/06 23.06.2004 табл.3. п.6</t>
  </si>
  <si>
    <t>СУ_т4_10</t>
  </si>
  <si>
    <t>При температуре воздуха на рабочем месте ниже 0°С</t>
  </si>
  <si>
    <t>МДС 81-35.2004.Пр.1.с учетом письма № АП-3230/06 23.06.2004 табл.4. п.10</t>
  </si>
  <si>
    <t>СУ_т4__5</t>
  </si>
  <si>
    <t>То же, внутри работающих ТП и РП при наличии допусков, а также вблизи источников ионирующего излучения и в помещениях А и Б по пожароопасности и 1-й, 2-й и 3-й категории по взрывоопасное</t>
  </si>
  <si>
    <t>МДС 81-35.2004.Пр.1.с учетом письма № АП-3230/06 23.06.2004 табл.4. п.5</t>
  </si>
  <si>
    <t>1-2.6-50</t>
  </si>
  <si>
    <t>Затраты труда рабочих, разряд работ 2.6</t>
  </si>
  <si>
    <t>чел.-ч</t>
  </si>
  <si>
    <t>Затраты труда машинистов</t>
  </si>
  <si>
    <t>чел.час</t>
  </si>
  <si>
    <t>021141</t>
  </si>
  <si>
    <t>483511</t>
  </si>
  <si>
    <t>Краны на автомобильном ходу при работе на других видах строительства (кроме магистральных трубопроводов) 10 т</t>
  </si>
  <si>
    <t>маш.-ч</t>
  </si>
  <si>
    <t>120202</t>
  </si>
  <si>
    <t>481412</t>
  </si>
  <si>
    <t>Автогрейдеры среднего типа 99 (135) кВт (л.с.)</t>
  </si>
  <si>
    <t>121601</t>
  </si>
  <si>
    <t>482218</t>
  </si>
  <si>
    <t>Машины поливомоечные 6000 л</t>
  </si>
  <si>
    <t>400001</t>
  </si>
  <si>
    <t>451114</t>
  </si>
  <si>
    <t>Автомобили бортовые грузоподъемностью до 5 т</t>
  </si>
  <si>
    <t>1-3.1-50</t>
  </si>
  <si>
    <t>Затраты труда рабочих, разряд работ 3.1</t>
  </si>
  <si>
    <t>050101</t>
  </si>
  <si>
    <t>364321</t>
  </si>
  <si>
    <t>Компрессоры передвижные с двигателем внутреннего сгорания давлением до 686 кПа (7 атм) 2,2 м3/мин</t>
  </si>
  <si>
    <t>330804</t>
  </si>
  <si>
    <t>483332</t>
  </si>
  <si>
    <t>Молотки отбойные пневматические при работе от передвижных компрессорных станций</t>
  </si>
  <si>
    <t>1-2.0-50</t>
  </si>
  <si>
    <t>Затраты труда рабочих, разряд работ 2.0</t>
  </si>
  <si>
    <t>1-2.8-50</t>
  </si>
  <si>
    <t>Затраты труда рабочих, разряд работ 2.8</t>
  </si>
  <si>
    <t>030101</t>
  </si>
  <si>
    <t>452712</t>
  </si>
  <si>
    <t>Автопогрузчики 5 т</t>
  </si>
  <si>
    <t>408-0122</t>
  </si>
  <si>
    <t>ССЦ Московской обл.,сб.408,поз.0122</t>
  </si>
  <si>
    <t>Песок природный для строительных работ средний</t>
  </si>
  <si>
    <t>м3</t>
  </si>
  <si>
    <t>446-6010</t>
  </si>
  <si>
    <t>ССЦ Московской обл.,сб.446,поз.6010</t>
  </si>
  <si>
    <t>Плиты железобетонные для покрытий автомобильных дорог</t>
  </si>
  <si>
    <t>060248</t>
  </si>
  <si>
    <t>481131</t>
  </si>
  <si>
    <t>Экскаваторы одноковшовые дизельные на гусеничном ходу при работе на других видах строительства (кроме водохозяйственного) 0,65 м3</t>
  </si>
  <si>
    <t>070149</t>
  </si>
  <si>
    <t>481214</t>
  </si>
  <si>
    <t>Бульдозеры при работе на других видах строительства (кроме водохозяйственного) 79 (108) кВт (л.с.)</t>
  </si>
  <si>
    <t>408-0015</t>
  </si>
  <si>
    <t>ССЦ Московской обл.,сб.408,поз.0015</t>
  </si>
  <si>
    <t>Щебень из природного камня для строительных работ марка 800, фракция   20-40 мм</t>
  </si>
  <si>
    <t>331101</t>
  </si>
  <si>
    <t>Трамбовки пневматические</t>
  </si>
  <si>
    <t>408-0141</t>
  </si>
  <si>
    <t>ССЦ Московской обл.,сб.408,поз.0141</t>
  </si>
  <si>
    <t>Песок для строительных работ природный для строительных растворов средний</t>
  </si>
  <si>
    <t>411-0001</t>
  </si>
  <si>
    <t>ССЦ Московской обл.,сб.411,поз.0001</t>
  </si>
  <si>
    <t>Вода</t>
  </si>
  <si>
    <t>1-2.9-50</t>
  </si>
  <si>
    <t>Затраты труда рабочих, разряд работ 2.9</t>
  </si>
  <si>
    <t>030202</t>
  </si>
  <si>
    <t>483411</t>
  </si>
  <si>
    <t>Домкраты гидравлические грузоподъемностью до 25 т</t>
  </si>
  <si>
    <t>031811</t>
  </si>
  <si>
    <t>483572</t>
  </si>
  <si>
    <t>Погрузчики одноковшовые универсальные фронтальные пневмоколесные     2 т</t>
  </si>
  <si>
    <t>060337</t>
  </si>
  <si>
    <t>481113</t>
  </si>
  <si>
    <t>Экскаваторы одноковшовые дизельные на пневмоколесном ходу при работе на других видах строительства (кроме водохозяйственного) 0,25 м3</t>
  </si>
  <si>
    <t>070148</t>
  </si>
  <si>
    <t>481211</t>
  </si>
  <si>
    <t>Бульдозеры при работе на других видах строительства (кроме водохозяйственного) 59 (80) кВт (л.с.)</t>
  </si>
  <si>
    <t>120907</t>
  </si>
  <si>
    <t>482411</t>
  </si>
  <si>
    <t>Катки дорожные самоходные гладкие 13 т</t>
  </si>
  <si>
    <t>134101</t>
  </si>
  <si>
    <t>483331</t>
  </si>
  <si>
    <t>Шпалоподбойки</t>
  </si>
  <si>
    <t>152304</t>
  </si>
  <si>
    <t>472455</t>
  </si>
  <si>
    <t>Тракторы на пневмоколесном ходу 108 кВт (145 л.с.)</t>
  </si>
  <si>
    <t>350155</t>
  </si>
  <si>
    <t>Гайковерты электрические</t>
  </si>
  <si>
    <t>400002</t>
  </si>
  <si>
    <t>451115</t>
  </si>
  <si>
    <t>Автомобили бортовые грузоподъемностью до 8 т</t>
  </si>
  <si>
    <t>400101</t>
  </si>
  <si>
    <t>451134</t>
  </si>
  <si>
    <t>Тягачи седельные 12 т</t>
  </si>
  <si>
    <t>400111</t>
  </si>
  <si>
    <t>452610</t>
  </si>
  <si>
    <t>Полуприцепы общего назначения 12 т</t>
  </si>
  <si>
    <t>105-0001</t>
  </si>
  <si>
    <t>ССЦ Московской обл.,сб.105,поз.0001</t>
  </si>
  <si>
    <t>Болты путевые с гайками для скрепления рельсов диаметром 22 мм</t>
  </si>
  <si>
    <t>105-0018</t>
  </si>
  <si>
    <t>ССЦ Московской обл.,сб.105,поз.0018</t>
  </si>
  <si>
    <t>Шайбы пружинные путевые исполнение 1 диаметр 22 мм</t>
  </si>
  <si>
    <t>105-0032</t>
  </si>
  <si>
    <t>ССЦ Московской обл.,сб.105,поз.0032</t>
  </si>
  <si>
    <t>Накладки двухголовые стыковые для рельсов Р-75, Р-65, Р-50, Р-43</t>
  </si>
  <si>
    <t>105-5002</t>
  </si>
  <si>
    <t>ССЦ Московской обл.,сб.105,поз.5002</t>
  </si>
  <si>
    <t>Секции инвентарные с рельсами типа Р50 на деревянных полушпалах</t>
  </si>
  <si>
    <t>шт.</t>
  </si>
  <si>
    <t>1 шт.</t>
  </si>
  <si>
    <t>201-0775</t>
  </si>
  <si>
    <t>ССЦ Московской обл.,сб.201,поз.0775</t>
  </si>
  <si>
    <t>Конструктивные элементы вспомогательного назначения, с преобладанием профильного проката без отверстий и сборосварочных операций</t>
  </si>
  <si>
    <t>1-3.7-50</t>
  </si>
  <si>
    <t>Затраты труда рабочих, разряд работ 3.7</t>
  </si>
  <si>
    <t>021102</t>
  </si>
  <si>
    <t>Краны на автомобильном ходу при работе на монтаже технологического оборудования 10 т</t>
  </si>
  <si>
    <t>040502</t>
  </si>
  <si>
    <t>344142</t>
  </si>
  <si>
    <t>Установки для сварки ручной дуговой (постоянного тока)</t>
  </si>
  <si>
    <t>101-1924</t>
  </si>
  <si>
    <t>ССЦ Московской обл.,сб.101,поз.1924</t>
  </si>
  <si>
    <t>Электроды диаметром 4 мм Э42А</t>
  </si>
  <si>
    <t>кг</t>
  </si>
  <si>
    <t>101-1977</t>
  </si>
  <si>
    <t>ССЦ Московской обл.,сб.101,поз.1977</t>
  </si>
  <si>
    <t>Болты строительные с гайками и шайбами</t>
  </si>
  <si>
    <t>101-1994</t>
  </si>
  <si>
    <t>ССЦ Московской обл.,сб.101,поз.1994</t>
  </si>
  <si>
    <t>Краски маркировочные МКЭ-4</t>
  </si>
  <si>
    <t>1-2.5-50</t>
  </si>
  <si>
    <t>Затраты труда рабочих, разряд работ 2.5</t>
  </si>
  <si>
    <t>331531</t>
  </si>
  <si>
    <t>Пилы дисковые электрические</t>
  </si>
  <si>
    <t>101-1777</t>
  </si>
  <si>
    <t>ССЦ Московской обл.,сб.101,поз.1777</t>
  </si>
  <si>
    <t>Паста антисептическая</t>
  </si>
  <si>
    <t>101-1805</t>
  </si>
  <si>
    <t>ССЦ Московской обл.,сб.101,поз.1805</t>
  </si>
  <si>
    <t>Гвозди строительные</t>
  </si>
  <si>
    <t>102-0048</t>
  </si>
  <si>
    <t>ССЦ Московской обл.,сб.102,поз.0048</t>
  </si>
  <si>
    <t>Пиломатериалы хвойных пород. Доски обрезные длиной 4-6.5 м, шириной 75-150 мм, толщиной 19-22 мм II сорта</t>
  </si>
  <si>
    <t>102-0060</t>
  </si>
  <si>
    <t>ССЦ Московской обл.,сб.102,поз.0060</t>
  </si>
  <si>
    <t>Пиломатериалы хвойных пород. Доски обрезные длиной 4-6.5 м, шириной   75-150 мм, толщиной 44 мм и более II сорта</t>
  </si>
  <si>
    <t>1-3.4-50</t>
  </si>
  <si>
    <t>Затраты труда рабочих, разряд работ 3.4</t>
  </si>
  <si>
    <t>1-4.7-50</t>
  </si>
  <si>
    <t>Затраты труда рабочих, разряд работ 4.7</t>
  </si>
  <si>
    <t>020130</t>
  </si>
  <si>
    <t>483542</t>
  </si>
  <si>
    <t>Краны башенные при работе на других видах строительства (кроме монтажа технологического оборудования) 10 т</t>
  </si>
  <si>
    <t>1-3.2-50</t>
  </si>
  <si>
    <t>Затраты труда рабочих, разряд работ 3.2</t>
  </si>
  <si>
    <t>160402</t>
  </si>
  <si>
    <t>483120</t>
  </si>
  <si>
    <t>Машины бурильно-крановые на автомобиле глубиной бурения 3,5 м</t>
  </si>
  <si>
    <t>101-1627</t>
  </si>
  <si>
    <t>ССЦ Московской обл.,сб.101,поз.1627</t>
  </si>
  <si>
    <t>Сталь углеродистая обыкновенного качества, марка стали ВСт3пс5, листовая толщиной 4-6 мм</t>
  </si>
  <si>
    <t>101-1638</t>
  </si>
  <si>
    <t>ССЦ Московской обл.,сб.101,поз.1638</t>
  </si>
  <si>
    <t>Сталь полосовая, марка стали ВСт3кп, размером 5х40 мм</t>
  </si>
  <si>
    <t>101-1642</t>
  </si>
  <si>
    <t>ССЦ Московской обл.,сб.101,поз.1642</t>
  </si>
  <si>
    <t>Сталь угловая, равнополочная, марка стали ВСт3кп2                       размером 100х100х10 мм</t>
  </si>
  <si>
    <t>101-1786</t>
  </si>
  <si>
    <t>ССЦ Московской обл.,сб.101,поз.1786</t>
  </si>
  <si>
    <t>Лак битумный БТ-123</t>
  </si>
  <si>
    <t xml:space="preserve">  на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</si>
  <si>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</si>
  <si>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</si>
  <si>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</si>
  <si>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</si>
  <si>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тыс.руб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</si>
  <si>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</si>
  <si>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</si>
  <si>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</si>
  <si>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</si>
  <si>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</si>
  <si>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Средства на оплату труда</t>
  </si>
  <si>
    <t>Составлен(а) в ценах Март 2007 г.</t>
  </si>
  <si>
    <t>№</t>
  </si>
  <si>
    <t>п/п</t>
  </si>
  <si>
    <t>Шифр</t>
  </si>
  <si>
    <t>расценки</t>
  </si>
  <si>
    <t>и коды</t>
  </si>
  <si>
    <t>ресурса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</si>
  <si>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</si>
  <si>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</si>
  <si>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</si>
  <si>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</si>
  <si>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</si>
  <si>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</si>
  <si>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</si>
  <si>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за ед.</t>
  </si>
  <si>
    <t>изм.</t>
  </si>
  <si>
    <t>Руб.</t>
  </si>
  <si>
    <t>Попра-</t>
  </si>
  <si>
    <t>вочные</t>
  </si>
  <si>
    <t>коэффи-</t>
  </si>
  <si>
    <t>циенты</t>
  </si>
  <si>
    <t>Стои-</t>
  </si>
  <si>
    <t>мость</t>
  </si>
  <si>
    <t>в ценах</t>
  </si>
  <si>
    <t>2001 г.</t>
  </si>
  <si>
    <t>Пункт</t>
  </si>
  <si>
    <t>коэфф.</t>
  </si>
  <si>
    <t>пере-</t>
  </si>
  <si>
    <t>счета</t>
  </si>
  <si>
    <t>Коэффи-</t>
  </si>
  <si>
    <t>мость в</t>
  </si>
  <si>
    <t>текущих</t>
  </si>
  <si>
    <t>ценах</t>
  </si>
  <si>
    <t>ЗТР</t>
  </si>
  <si>
    <t>всего</t>
  </si>
  <si>
    <t>чел.-час</t>
  </si>
  <si>
    <t xml:space="preserve">Раздел  </t>
  </si>
  <si>
    <t>Зарплата</t>
  </si>
  <si>
    <t>в т.ч. зарплата машинистов</t>
  </si>
  <si>
    <t>Накладные расходы от ФОТ</t>
  </si>
  <si>
    <t>%</t>
  </si>
  <si>
    <t>Плановые накопления от ФОТ</t>
  </si>
  <si>
    <t>Затраты труда</t>
  </si>
  <si>
    <t>чел-ч</t>
  </si>
  <si>
    <t>Материальные ресурсы</t>
  </si>
  <si>
    <t>Итого</t>
  </si>
  <si>
    <t>Итого по разделу</t>
  </si>
  <si>
    <t>Итого по смете</t>
  </si>
  <si>
    <t>Итого по локальной смете</t>
  </si>
  <si>
    <t>Итого по объекту</t>
  </si>
  <si>
    <t>ИСПОЛНИЛ</t>
  </si>
  <si>
    <t>[должность,подпись(инициалы,фамилия)]</t>
  </si>
  <si>
    <t>ПРОВЕРИЛ</t>
  </si>
  <si>
    <t>ЛОКАЛЬНАЯ СМЕТА 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</si>
</sst>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 shrinkToFit="1"/>
    </xf>
    <xf numFmtId="0" fontId="14" fillId="0" borderId="0" xfId="0" applyFont="1" applyAlignment="1">
      <alignment horizontal="right" wrapText="1" shrinkToFit="1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 horizontal="right"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wrapText="1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2" fontId="9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justify" vertical="top" wrapText="1" shrinkToFit="1"/>
    </xf>
    <xf numFmtId="0" fontId="14" fillId="0" borderId="5" xfId="0" applyFont="1" applyBorder="1" applyAlignment="1">
      <alignment horizontal="right" wrapText="1" shrinkToFit="1"/>
    </xf>
    <xf numFmtId="0" fontId="9" fillId="0" borderId="5" xfId="0" applyFont="1" applyBorder="1" applyAlignment="1">
      <alignment shrinkToFit="1"/>
    </xf>
    <xf numFmtId="0" fontId="9" fillId="0" borderId="5" xfId="0" applyFont="1" applyBorder="1" applyAlignment="1">
      <alignment wrapText="1" shrinkToFit="1"/>
    </xf>
    <xf numFmtId="2" fontId="9" fillId="0" borderId="5" xfId="0" applyNumberFormat="1" applyFont="1" applyBorder="1" applyAlignment="1">
      <alignment shrinkToFit="1"/>
    </xf>
    <xf numFmtId="2" fontId="13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7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1" fillId="0" borderId="5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2" fontId="9" fillId="0" borderId="0" xfId="0" applyNumberFormat="1" applyFont="1" applyAlignment="1">
      <alignment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13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2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2" fontId="8" fillId="0" borderId="0" xfId="0" applyNumberFormat="1" applyFont="1" applyAlignment="1">
      <alignment horizontal="right" shrinkToFit="1"/>
    </xf>
    <xf numFmtId="0" fontId="8" fillId="0" borderId="0" xfId="0" applyFont="1" applyAlignment="1">
      <alignment horizontal="right" shrinkToFit="1"/>
    </xf>
    <xf numFmtId="2" fontId="13" fillId="0" borderId="0" xfId="0" applyNumberFormat="1" applyFont="1" applyAlignment="1">
      <alignment horizontal="right"/>
    </xf>
    <xf numFmtId="0" fontId="7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2"/>
  <sheetViews>
    <sheetView tabSelected="1" workbookViewId="0" topLeftCell="A1">
      <selection activeCell="B5" sqref="B5:L5"/>
    </sheetView>
  </sheetViews>
  <sheetFormatPr defaultColWidth="9.140625" defaultRowHeight="12.75"/>
  <cols>
    <col min="1" max="1" width="5.28125" style="0" customWidth="1"/>
    <col min="2" max="2" width="12.140625" style="0" customWidth="1"/>
    <col min="3" max="3" width="40.7109375" style="0" customWidth="1"/>
    <col min="6" max="6" width="9.57421875" style="0" bestFit="1" customWidth="1"/>
    <col min="7" max="7" width="11.28125" style="0" customWidth="1"/>
    <col min="8" max="8" width="11.00390625" style="0" bestFit="1" customWidth="1"/>
    <col min="10" max="10" width="10.140625" style="0" customWidth="1"/>
    <col min="11" max="11" width="12.140625" style="0" bestFit="1" customWidth="1"/>
    <col min="13" max="23" width="0" style="0" hidden="1" customWidth="1"/>
  </cols>
  <sheetData>
    <row r="1" spans="1:12" ht="42" customHeight="1">
      <c r="A1" s="45" t="s">
        <v>514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3" spans="2:12" ht="14.25" hidden="1">
      <c r="B3" s="47" t="str">
        <f>Source!G20</f>
        <v>Новая локальная смета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5" spans="1:12" ht="18.75">
      <c r="A5" s="4" t="s">
        <v>449</v>
      </c>
      <c r="B5" s="49" t="str">
        <f>IF(Source!G12&lt;&gt;"",Source!G12,Source!F12)</f>
        <v>Монтаж подкрановых путей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12" ht="12.75">
      <c r="B6" s="41" t="s">
        <v>450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8" spans="1:12" ht="15">
      <c r="A8" s="43" t="str">
        <f>CONCATENATE("Основание: ",Source!J12)</f>
        <v>Основание: 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10" spans="5:10" ht="12.75">
      <c r="E10" s="4"/>
      <c r="F10" s="4"/>
      <c r="G10" s="4"/>
      <c r="H10" s="4"/>
      <c r="I10" s="4"/>
      <c r="J10" s="4"/>
    </row>
    <row r="11" spans="5:10" ht="12.75">
      <c r="E11" s="7"/>
      <c r="F11" s="7"/>
      <c r="G11" s="50" t="s">
        <v>451</v>
      </c>
      <c r="H11" s="50"/>
      <c r="I11" s="50" t="s">
        <v>452</v>
      </c>
      <c r="J11" s="50"/>
    </row>
    <row r="12" spans="3:12" ht="15.75">
      <c r="C12" s="51" t="s">
        <v>453</v>
      </c>
      <c r="D12" s="51"/>
      <c r="E12" s="51"/>
      <c r="F12" s="51"/>
      <c r="G12" s="52">
        <f>G180/1000</f>
        <v>238.6964434515657</v>
      </c>
      <c r="H12" s="52"/>
      <c r="I12" s="52">
        <f>(Source!F158/1000)</f>
        <v>1591.2613999999999</v>
      </c>
      <c r="J12" s="52"/>
      <c r="K12" s="53" t="s">
        <v>454</v>
      </c>
      <c r="L12" s="53"/>
    </row>
    <row r="13" spans="3:12" ht="15">
      <c r="C13" s="54" t="s">
        <v>455</v>
      </c>
      <c r="D13" s="54"/>
      <c r="E13" s="54"/>
      <c r="F13" s="54"/>
      <c r="G13" s="52">
        <f>O180/1000</f>
        <v>236.57829345156566</v>
      </c>
      <c r="H13" s="52"/>
      <c r="I13" s="52">
        <f>S180/1000</f>
        <v>1330.41801</v>
      </c>
      <c r="J13" s="52"/>
      <c r="K13" s="53" t="s">
        <v>454</v>
      </c>
      <c r="L13" s="53"/>
    </row>
    <row r="14" spans="3:12" ht="15">
      <c r="C14" s="54" t="s">
        <v>456</v>
      </c>
      <c r="D14" s="54"/>
      <c r="E14" s="54"/>
      <c r="F14" s="54"/>
      <c r="G14" s="52">
        <f>P180/1000</f>
        <v>0</v>
      </c>
      <c r="H14" s="52"/>
      <c r="I14" s="52">
        <f>T180/1000</f>
        <v>0</v>
      </c>
      <c r="J14" s="52"/>
      <c r="K14" s="53" t="s">
        <v>454</v>
      </c>
      <c r="L14" s="53"/>
    </row>
    <row r="15" spans="3:12" ht="15">
      <c r="C15" s="54" t="s">
        <v>457</v>
      </c>
      <c r="D15" s="54"/>
      <c r="E15" s="54"/>
      <c r="F15" s="54"/>
      <c r="G15" s="52">
        <f>Q180/1000</f>
        <v>0</v>
      </c>
      <c r="H15" s="52"/>
      <c r="I15" s="52">
        <f>U180/1000</f>
        <v>0</v>
      </c>
      <c r="J15" s="52"/>
      <c r="K15" s="53" t="s">
        <v>454</v>
      </c>
      <c r="L15" s="53"/>
    </row>
    <row r="16" spans="3:12" ht="15">
      <c r="C16" s="54" t="s">
        <v>458</v>
      </c>
      <c r="D16" s="54"/>
      <c r="E16" s="54"/>
      <c r="F16" s="54"/>
      <c r="G16" s="52">
        <f>R180/1000</f>
        <v>2.11815</v>
      </c>
      <c r="H16" s="52"/>
      <c r="I16" s="52">
        <f>V180/1000</f>
        <v>2.11815</v>
      </c>
      <c r="J16" s="52"/>
      <c r="K16" s="53" t="s">
        <v>454</v>
      </c>
      <c r="L16" s="53"/>
    </row>
    <row r="17" spans="3:12" ht="15.75">
      <c r="C17" s="51" t="s">
        <v>459</v>
      </c>
      <c r="D17" s="51"/>
      <c r="E17" s="51"/>
      <c r="F17" s="51"/>
      <c r="G17" s="52">
        <f>(Source!F142)</f>
        <v>1544.14</v>
      </c>
      <c r="H17" s="52"/>
      <c r="I17" s="52">
        <f>(Source!F142)</f>
        <v>1544.14</v>
      </c>
      <c r="J17" s="52"/>
      <c r="K17" s="53" t="s">
        <v>286</v>
      </c>
      <c r="L17" s="53"/>
    </row>
    <row r="18" spans="3:12" ht="15.75">
      <c r="C18" s="51" t="s">
        <v>460</v>
      </c>
      <c r="D18" s="51"/>
      <c r="E18" s="51"/>
      <c r="F18" s="51"/>
      <c r="G18" s="52">
        <f>(N180+W180)/1000</f>
        <v>16.71552093023256</v>
      </c>
      <c r="H18" s="52"/>
      <c r="I18" s="52">
        <f>((Source!F152+Source!F139)/1000)</f>
        <v>175.56182</v>
      </c>
      <c r="J18" s="52"/>
      <c r="K18" s="53" t="s">
        <v>454</v>
      </c>
      <c r="L18" s="53"/>
    </row>
    <row r="20" spans="1:6" ht="12.75">
      <c r="A20" s="55" t="s">
        <v>461</v>
      </c>
      <c r="B20" s="55"/>
      <c r="C20" s="55"/>
      <c r="D20" s="4"/>
      <c r="E20" s="4"/>
      <c r="F20" s="4"/>
    </row>
    <row r="21" spans="1:12" ht="15">
      <c r="A21" s="10"/>
      <c r="B21" s="10"/>
      <c r="C21" s="10"/>
      <c r="D21" s="10"/>
      <c r="E21" s="10"/>
      <c r="F21" s="11" t="s">
        <v>474</v>
      </c>
      <c r="G21" s="11" t="s">
        <v>478</v>
      </c>
      <c r="H21" s="11" t="s">
        <v>482</v>
      </c>
      <c r="I21" s="11" t="s">
        <v>486</v>
      </c>
      <c r="J21" s="11" t="s">
        <v>490</v>
      </c>
      <c r="K21" s="11" t="s">
        <v>482</v>
      </c>
      <c r="L21" s="11" t="s">
        <v>494</v>
      </c>
    </row>
    <row r="22" spans="1:12" ht="15">
      <c r="A22" s="12" t="s">
        <v>462</v>
      </c>
      <c r="B22" s="12" t="s">
        <v>464</v>
      </c>
      <c r="C22" s="13"/>
      <c r="D22" s="12" t="s">
        <v>469</v>
      </c>
      <c r="E22" s="12" t="s">
        <v>472</v>
      </c>
      <c r="F22" s="12" t="s">
        <v>475</v>
      </c>
      <c r="G22" s="12" t="s">
        <v>479</v>
      </c>
      <c r="H22" s="12" t="s">
        <v>483</v>
      </c>
      <c r="I22" s="12" t="s">
        <v>487</v>
      </c>
      <c r="J22" s="12" t="s">
        <v>481</v>
      </c>
      <c r="K22" s="12" t="s">
        <v>491</v>
      </c>
      <c r="L22" s="12" t="s">
        <v>495</v>
      </c>
    </row>
    <row r="23" spans="1:12" ht="15">
      <c r="A23" s="12" t="s">
        <v>463</v>
      </c>
      <c r="B23" s="12" t="s">
        <v>465</v>
      </c>
      <c r="C23" s="12" t="s">
        <v>468</v>
      </c>
      <c r="D23" s="12" t="s">
        <v>470</v>
      </c>
      <c r="E23" s="12" t="s">
        <v>473</v>
      </c>
      <c r="F23" s="12" t="s">
        <v>476</v>
      </c>
      <c r="G23" s="12" t="s">
        <v>480</v>
      </c>
      <c r="H23" s="12" t="s">
        <v>484</v>
      </c>
      <c r="I23" s="12" t="s">
        <v>488</v>
      </c>
      <c r="J23" s="12" t="s">
        <v>488</v>
      </c>
      <c r="K23" s="12" t="s">
        <v>492</v>
      </c>
      <c r="L23" s="12" t="s">
        <v>496</v>
      </c>
    </row>
    <row r="24" spans="1:12" ht="15">
      <c r="A24" s="13"/>
      <c r="B24" s="12" t="s">
        <v>466</v>
      </c>
      <c r="C24" s="13"/>
      <c r="D24" s="12" t="s">
        <v>471</v>
      </c>
      <c r="E24" s="13"/>
      <c r="F24" s="12" t="s">
        <v>477</v>
      </c>
      <c r="G24" s="12" t="s">
        <v>481</v>
      </c>
      <c r="H24" s="12" t="s">
        <v>485</v>
      </c>
      <c r="I24" s="12" t="s">
        <v>489</v>
      </c>
      <c r="J24" s="12" t="s">
        <v>489</v>
      </c>
      <c r="K24" s="12" t="s">
        <v>493</v>
      </c>
      <c r="L24" s="12"/>
    </row>
    <row r="25" spans="1:12" ht="15">
      <c r="A25" s="14"/>
      <c r="B25" s="15" t="s">
        <v>467</v>
      </c>
      <c r="C25" s="14"/>
      <c r="D25" s="14"/>
      <c r="E25" s="14"/>
      <c r="F25" s="14"/>
      <c r="G25" s="15"/>
      <c r="H25" s="15"/>
      <c r="I25" s="15"/>
      <c r="J25" s="15"/>
      <c r="K25" s="15"/>
      <c r="L25" s="15"/>
    </row>
    <row r="26" spans="1:12" ht="15">
      <c r="A26" s="16">
        <v>1</v>
      </c>
      <c r="B26" s="16">
        <v>2</v>
      </c>
      <c r="C26" s="16">
        <v>3</v>
      </c>
      <c r="D26" s="16">
        <v>4</v>
      </c>
      <c r="E26" s="16">
        <v>5</v>
      </c>
      <c r="F26" s="16">
        <v>6</v>
      </c>
      <c r="G26" s="16">
        <v>7</v>
      </c>
      <c r="H26" s="16">
        <v>8</v>
      </c>
      <c r="I26" s="16">
        <v>9</v>
      </c>
      <c r="J26" s="16">
        <v>10</v>
      </c>
      <c r="K26" s="16">
        <v>11</v>
      </c>
      <c r="L26" s="16">
        <v>12</v>
      </c>
    </row>
    <row r="27" spans="3:11" ht="18">
      <c r="C27" s="17" t="s">
        <v>497</v>
      </c>
      <c r="D27" s="56" t="str">
        <f>IF(Source!C12="1",Source!F24,Source!G24)</f>
        <v>Подготовительные работы</v>
      </c>
      <c r="E27" s="57"/>
      <c r="F27" s="57"/>
      <c r="G27" s="57"/>
      <c r="H27" s="57"/>
      <c r="I27" s="57"/>
      <c r="J27" s="57"/>
      <c r="K27" s="57"/>
    </row>
    <row r="29" spans="1:12" ht="45">
      <c r="A29" s="18" t="str">
        <f>Source!E28</f>
        <v>1</v>
      </c>
      <c r="B29" s="18" t="str">
        <f>Source!F28</f>
        <v>27-12-010-4</v>
      </c>
      <c r="C29" s="19" t="str">
        <f>Source!G28</f>
        <v>Разборка дорог из сборных железобетонных плит площадью: более 3 м2</v>
      </c>
      <c r="D29" s="20" t="str">
        <f>Source!H28</f>
        <v>100 м3</v>
      </c>
      <c r="E29" s="8">
        <f>ROUND(Source!I28,6)</f>
        <v>1.44</v>
      </c>
      <c r="F29" s="8">
        <f>IF(Source!AK28&lt;&gt;0,Source!AK28,Source!AL28+Source!AM28+Source!AO28)</f>
        <v>1957.67</v>
      </c>
      <c r="G29" s="8"/>
      <c r="H29" s="8"/>
      <c r="I29" s="8"/>
      <c r="J29" s="8"/>
      <c r="K29" s="8"/>
      <c r="L29" s="8"/>
    </row>
    <row r="30" spans="1:12" ht="15">
      <c r="A30" s="6"/>
      <c r="B30" s="6"/>
      <c r="C30" s="6" t="s">
        <v>498</v>
      </c>
      <c r="D30" s="6"/>
      <c r="E30" s="6"/>
      <c r="F30" s="6">
        <f>Source!AO28</f>
        <v>315.26</v>
      </c>
      <c r="G30" s="21">
        <f>Source!DG28</f>
      </c>
      <c r="H30" s="22">
        <f>IF(Source!BA28&lt;&gt;0,Source!S28/Source!BA28,Source!S28)</f>
        <v>453.97441860465113</v>
      </c>
      <c r="I30" s="6" t="str">
        <f>IF(Source!BO28&lt;&gt;"",Source!BO28,"")</f>
        <v>27-12-010-4</v>
      </c>
      <c r="J30" s="6">
        <f>Source!BA28</f>
        <v>8.6</v>
      </c>
      <c r="K30" s="22">
        <f>Source!S28</f>
        <v>3904.18</v>
      </c>
      <c r="L30" s="6"/>
    </row>
    <row r="31" spans="1:12" ht="15">
      <c r="A31" s="6"/>
      <c r="B31" s="6"/>
      <c r="C31" s="6" t="s">
        <v>65</v>
      </c>
      <c r="D31" s="6"/>
      <c r="E31" s="6"/>
      <c r="F31" s="6">
        <f>Source!AM28</f>
        <v>1642.41</v>
      </c>
      <c r="G31" s="21">
        <f>Source!DE28</f>
      </c>
      <c r="H31" s="22">
        <f>IF(Source!BB28&lt;&gt;0,Source!Q28/Source!BB28,Source!Q28)</f>
        <v>2365.0712694877507</v>
      </c>
      <c r="I31" s="6"/>
      <c r="J31" s="6">
        <f>Source!BB28</f>
        <v>4.49</v>
      </c>
      <c r="K31" s="22">
        <f>Source!Q28</f>
        <v>10619.17</v>
      </c>
      <c r="L31" s="6"/>
    </row>
    <row r="32" spans="1:12" ht="15">
      <c r="A32" s="6"/>
      <c r="B32" s="6"/>
      <c r="C32" s="6" t="s">
        <v>499</v>
      </c>
      <c r="D32" s="6"/>
      <c r="E32" s="6"/>
      <c r="F32" s="6">
        <f>Source!AN28</f>
        <v>149.1</v>
      </c>
      <c r="G32" s="21">
        <f>Source!DF28</f>
      </c>
      <c r="H32" s="24">
        <f>IF(Source!BS28&lt;&gt;0,Source!R28/Source!BS28,Source!R28)</f>
        <v>214.70348837209303</v>
      </c>
      <c r="I32" s="6"/>
      <c r="J32" s="6">
        <f>Source!BS28</f>
        <v>8.6</v>
      </c>
      <c r="K32" s="9">
        <f>Source!R28</f>
        <v>1846.45</v>
      </c>
      <c r="L32" s="6"/>
    </row>
    <row r="33" spans="1:12" ht="15">
      <c r="A33" s="6"/>
      <c r="B33" s="6"/>
      <c r="C33" s="6" t="s">
        <v>500</v>
      </c>
      <c r="D33" s="9" t="s">
        <v>501</v>
      </c>
      <c r="E33" s="6"/>
      <c r="F33" s="6">
        <f>Source!AT28</f>
        <v>133.48</v>
      </c>
      <c r="G33" s="6"/>
      <c r="H33" s="22">
        <f>(F33/100)*((Source!S28/IF(Source!BA28&lt;&gt;0,Source!BA28,1))+(Source!R28/IF(Source!BS28&lt;&gt;0,Source!BS28,1)))</f>
        <v>892.5512702325582</v>
      </c>
      <c r="I33" s="6"/>
      <c r="J33" s="6">
        <f>Source!AT28</f>
        <v>133.48</v>
      </c>
      <c r="K33" s="22">
        <f>Source!X28</f>
        <v>7675.94</v>
      </c>
      <c r="L33" s="6"/>
    </row>
    <row r="34" spans="1:12" ht="15">
      <c r="A34" s="6"/>
      <c r="B34" s="6"/>
      <c r="C34" s="6" t="s">
        <v>502</v>
      </c>
      <c r="D34" s="9" t="s">
        <v>501</v>
      </c>
      <c r="E34" s="6"/>
      <c r="F34" s="6">
        <f>Source!AU28</f>
        <v>95</v>
      </c>
      <c r="G34" s="6"/>
      <c r="H34" s="22">
        <f>(F34/100)*((Source!S28/IF(Source!BA28&lt;&gt;0,Source!BA28,1))+(Source!R28/IF(Source!BS28&lt;&gt;0,Source!BS28,1)))</f>
        <v>635.244011627907</v>
      </c>
      <c r="I34" s="6"/>
      <c r="J34" s="6">
        <f>Source!AU28</f>
        <v>95</v>
      </c>
      <c r="K34" s="22">
        <f>Source!Y28</f>
        <v>5463.1</v>
      </c>
      <c r="L34" s="6"/>
    </row>
    <row r="35" spans="1:12" ht="15">
      <c r="A35" s="25"/>
      <c r="B35" s="25"/>
      <c r="C35" s="25" t="s">
        <v>503</v>
      </c>
      <c r="D35" s="26" t="s">
        <v>504</v>
      </c>
      <c r="E35" s="25">
        <f>Source!AQ28</f>
        <v>38.26</v>
      </c>
      <c r="F35" s="25"/>
      <c r="G35" s="27">
        <f>Source!DI28</f>
      </c>
      <c r="H35" s="25"/>
      <c r="I35" s="25"/>
      <c r="J35" s="25"/>
      <c r="K35" s="25"/>
      <c r="L35" s="25">
        <f>Source!U28</f>
        <v>55.09</v>
      </c>
    </row>
    <row r="36" spans="1:23" ht="15.75">
      <c r="A36" s="6"/>
      <c r="B36" s="6"/>
      <c r="C36" s="6"/>
      <c r="D36" s="6"/>
      <c r="E36" s="6"/>
      <c r="F36" s="6"/>
      <c r="G36" s="6"/>
      <c r="H36" s="28">
        <f>IF(Source!BA28&lt;&gt;0,Source!S28/Source!BA28,Source!S28)+IF(Source!BB28&lt;&gt;0,Source!Q28/Source!BB28,Source!Q28)+H33+H34</f>
        <v>4346.8409699528665</v>
      </c>
      <c r="I36" s="29"/>
      <c r="J36" s="29"/>
      <c r="K36" s="28">
        <f>Source!S28+Source!Q28+K33+K34</f>
        <v>27662.39</v>
      </c>
      <c r="L36" s="29">
        <f>Source!U28</f>
        <v>55.09</v>
      </c>
      <c r="M36" s="23">
        <f>H36</f>
        <v>4346.8409699528665</v>
      </c>
      <c r="N36">
        <f>IF(Source!BA28&lt;&gt;0,Source!S28/Source!BA28,Source!S28)</f>
        <v>453.97441860465113</v>
      </c>
      <c r="O36">
        <f>IF(Source!BI28=1,(IF(Source!BA28&lt;&gt;0,Source!S28/Source!BA28,Source!S28)+IF(Source!BB28&lt;&gt;0,Source!Q28/Source!BB28,Source!Q28)+IF(Source!BC28&lt;&gt;0,Source!P28/Source!BC28,Source!P28)+((Source!AT28/100)*((Source!S28/IF(Source!BA28&lt;&gt;0,Source!BA28,1))+(Source!R28/IF(Source!BS28&lt;&gt;0,Source!BS28,1))))+((Source!AU28/100)*((Source!S28/IF(Source!BA28&lt;&gt;0,Source!BA28,1))+(Source!R28/IF(Source!BS28&lt;&gt;0,Source!BS28,1))))),0)</f>
        <v>4346.8409699528665</v>
      </c>
      <c r="P36">
        <f>IF(Source!BI28=2,(IF(Source!BA28&lt;&gt;0,Source!S28/Source!BA28,Source!S28)+IF(Source!BB28&lt;&gt;0,Source!Q28/Source!BB28,Source!Q28)+IF(Source!BC28&lt;&gt;0,Source!P28/Source!BC28,Source!P28)+((Source!AT28/100)*((Source!S28/IF(Source!BA28&lt;&gt;0,Source!BA28,1))+(Source!R28/IF(Source!BS28&lt;&gt;0,Source!BS28,1))))+((Source!AU28/100)*((Source!S28/IF(Source!BA28&lt;&gt;0,Source!BA28,1))+(Source!R28/IF(Source!BS28&lt;&gt;0,Source!BS28,1))))),0)</f>
        <v>0</v>
      </c>
      <c r="Q36">
        <f>IF(Source!BI28=3,(IF(Source!BA28&lt;&gt;0,Source!S28/Source!BA28,Source!S28)+IF(Source!BB28&lt;&gt;0,Source!Q28/Source!BB28,Source!Q28)+IF(Source!BC28&lt;&gt;0,Source!P28/Source!BC28,Source!P28)+((Source!AT28/100)*((Source!S28/IF(Source!BA28&lt;&gt;0,Source!BA28,1))+(Source!R28/IF(Source!BS28&lt;&gt;0,Source!BS28,1))))+((Source!AU28/100)*((Source!S28/IF(Source!BA28&lt;&gt;0,Source!BA28,1))+(Source!R28/IF(Source!BS28&lt;&gt;0,Source!BS28,1))))),0)</f>
        <v>0</v>
      </c>
      <c r="R36">
        <f>IF(Source!BI28=4,(IF(Source!BA28&lt;&gt;0,Source!S28/Source!BA28,Source!S28)+IF(Source!BB28&lt;&gt;0,Source!Q28/Source!BB28,Source!Q28)+IF(Source!BC28&lt;&gt;0,Source!P28/Source!BC28,Source!P28)+((Source!AT28/100)*((Source!S28/IF(Source!BA28&lt;&gt;0,Source!BA28,1))+(Source!R28/IF(Source!BS28&lt;&gt;0,Source!BS28,1))))+((Source!AU28/100)*((Source!S28/IF(Source!BA28&lt;&gt;0,Source!BA28,1))+(Source!R28/IF(Source!BS28&lt;&gt;0,Source!BS28,1))))),0)</f>
        <v>0</v>
      </c>
      <c r="S36">
        <f>IF(Source!BI28=1,Source!O28+Source!X28+Source!Y28,0)</f>
        <v>27662.39</v>
      </c>
      <c r="T36">
        <f>IF(Source!BI28=2,Source!O28+Source!X28+Source!Y28,0)</f>
        <v>0</v>
      </c>
      <c r="U36">
        <f>IF(Source!BI28=3,Source!O28+Source!X28+Source!Y28,0)</f>
        <v>0</v>
      </c>
      <c r="V36">
        <f>IF(Source!BI28=4,Source!O28+Source!X28+Source!Y28,0)</f>
        <v>0</v>
      </c>
      <c r="W36">
        <f>IF(Source!BS28&lt;&gt;0,Source!R28/Source!BS28,Source!R28)</f>
        <v>214.70348837209303</v>
      </c>
    </row>
    <row r="37" spans="1:12" ht="30">
      <c r="A37" s="18" t="str">
        <f>Source!E29</f>
        <v>2</v>
      </c>
      <c r="B37" s="18" t="str">
        <f>Source!F29</f>
        <v>68-14-1</v>
      </c>
      <c r="C37" s="19" t="str">
        <f>Source!G29</f>
        <v>Разборка бортовых камней на бетонном основании</v>
      </c>
      <c r="D37" s="20" t="str">
        <f>Source!H29</f>
        <v>100 м</v>
      </c>
      <c r="E37" s="8">
        <f>ROUND(Source!I29,6)</f>
        <v>0.3</v>
      </c>
      <c r="F37" s="8">
        <f>IF(Source!AK29&lt;&gt;0,Source!AK29,Source!AL29+Source!AM29+Source!AO29)</f>
        <v>2000.71</v>
      </c>
      <c r="G37" s="8"/>
      <c r="H37" s="8"/>
      <c r="I37" s="8"/>
      <c r="J37" s="8"/>
      <c r="K37" s="8"/>
      <c r="L37" s="8"/>
    </row>
    <row r="38" spans="1:12" ht="15">
      <c r="A38" s="6"/>
      <c r="B38" s="6"/>
      <c r="C38" s="6" t="s">
        <v>498</v>
      </c>
      <c r="D38" s="6"/>
      <c r="E38" s="6"/>
      <c r="F38" s="6">
        <f>Source!AO29</f>
        <v>589.77</v>
      </c>
      <c r="G38" s="21">
        <f>Source!DG29</f>
      </c>
      <c r="H38" s="22">
        <f>IF(Source!BA29&lt;&gt;0,Source!S29/Source!BA29,Source!S29)</f>
        <v>176.9313953488372</v>
      </c>
      <c r="I38" s="6" t="str">
        <f>IF(Source!BO29&lt;&gt;"",Source!BO29,"")</f>
        <v>68-14-1</v>
      </c>
      <c r="J38" s="6">
        <f>Source!BA29</f>
        <v>8.6</v>
      </c>
      <c r="K38" s="22">
        <f>Source!S29</f>
        <v>1521.61</v>
      </c>
      <c r="L38" s="6"/>
    </row>
    <row r="39" spans="1:12" ht="15">
      <c r="A39" s="6"/>
      <c r="B39" s="6"/>
      <c r="C39" s="6" t="s">
        <v>65</v>
      </c>
      <c r="D39" s="6"/>
      <c r="E39" s="6"/>
      <c r="F39" s="6">
        <f>Source!AM29</f>
        <v>1410.94</v>
      </c>
      <c r="G39" s="21">
        <f>Source!DE29</f>
      </c>
      <c r="H39" s="22">
        <f>IF(Source!BB29&lt;&gt;0,Source!Q29/Source!BB29,Source!Q29)</f>
        <v>423.28280542986425</v>
      </c>
      <c r="I39" s="6"/>
      <c r="J39" s="6">
        <f>Source!BB29</f>
        <v>4.42</v>
      </c>
      <c r="K39" s="22">
        <f>Source!Q29</f>
        <v>1870.91</v>
      </c>
      <c r="L39" s="6"/>
    </row>
    <row r="40" spans="1:12" ht="15">
      <c r="A40" s="6"/>
      <c r="B40" s="6"/>
      <c r="C40" s="6" t="s">
        <v>499</v>
      </c>
      <c r="D40" s="6"/>
      <c r="E40" s="6"/>
      <c r="F40" s="6">
        <f>Source!AN29</f>
        <v>94.56</v>
      </c>
      <c r="G40" s="21">
        <f>Source!DF29</f>
      </c>
      <c r="H40" s="24">
        <f>IF(Source!BS29&lt;&gt;0,Source!R29/Source!BS29,Source!R29)</f>
        <v>28.367441860465117</v>
      </c>
      <c r="I40" s="6"/>
      <c r="J40" s="6">
        <f>Source!BS29</f>
        <v>8.6</v>
      </c>
      <c r="K40" s="9">
        <f>Source!R29</f>
        <v>243.96</v>
      </c>
      <c r="L40" s="6"/>
    </row>
    <row r="41" spans="1:12" ht="15">
      <c r="A41" s="6"/>
      <c r="B41" s="6"/>
      <c r="C41" s="6" t="s">
        <v>500</v>
      </c>
      <c r="D41" s="9" t="s">
        <v>501</v>
      </c>
      <c r="E41" s="6"/>
      <c r="F41" s="6">
        <f>Source!AT29</f>
        <v>97.76</v>
      </c>
      <c r="G41" s="6"/>
      <c r="H41" s="22">
        <f>(F41/100)*((Source!S29/IF(Source!BA29&lt;&gt;0,Source!BA29,1))+(Source!R29/IF(Source!BS29&lt;&gt;0,Source!BS29,1)))</f>
        <v>200.70014325581394</v>
      </c>
      <c r="I41" s="6"/>
      <c r="J41" s="6">
        <f>Source!AT29</f>
        <v>97.76</v>
      </c>
      <c r="K41" s="22">
        <f>Source!X29</f>
        <v>1726.02</v>
      </c>
      <c r="L41" s="6"/>
    </row>
    <row r="42" spans="1:12" ht="15">
      <c r="A42" s="6"/>
      <c r="B42" s="6"/>
      <c r="C42" s="6" t="s">
        <v>502</v>
      </c>
      <c r="D42" s="9" t="s">
        <v>501</v>
      </c>
      <c r="E42" s="6"/>
      <c r="F42" s="6">
        <f>Source!AU29</f>
        <v>60</v>
      </c>
      <c r="G42" s="6"/>
      <c r="H42" s="22">
        <f>(F42/100)*((Source!S29/IF(Source!BA29&lt;&gt;0,Source!BA29,1))+(Source!R29/IF(Source!BS29&lt;&gt;0,Source!BS29,1)))</f>
        <v>123.17930232558139</v>
      </c>
      <c r="I42" s="6"/>
      <c r="J42" s="6">
        <f>Source!AU29</f>
        <v>60</v>
      </c>
      <c r="K42" s="22">
        <f>Source!Y29</f>
        <v>1059.34</v>
      </c>
      <c r="L42" s="6"/>
    </row>
    <row r="43" spans="1:12" ht="15">
      <c r="A43" s="25"/>
      <c r="B43" s="25"/>
      <c r="C43" s="25" t="s">
        <v>503</v>
      </c>
      <c r="D43" s="26" t="s">
        <v>504</v>
      </c>
      <c r="E43" s="25">
        <f>Source!AQ29</f>
        <v>68.26</v>
      </c>
      <c r="F43" s="25"/>
      <c r="G43" s="27">
        <f>Source!DI29</f>
      </c>
      <c r="H43" s="25"/>
      <c r="I43" s="25"/>
      <c r="J43" s="25"/>
      <c r="K43" s="25"/>
      <c r="L43" s="25">
        <f>Source!U29</f>
        <v>20.48</v>
      </c>
    </row>
    <row r="44" spans="1:23" ht="15.75">
      <c r="A44" s="6"/>
      <c r="B44" s="6"/>
      <c r="C44" s="6"/>
      <c r="D44" s="6"/>
      <c r="E44" s="6"/>
      <c r="F44" s="6"/>
      <c r="G44" s="6"/>
      <c r="H44" s="28">
        <f>IF(Source!BA29&lt;&gt;0,Source!S29/Source!BA29,Source!S29)+IF(Source!BB29&lt;&gt;0,Source!Q29/Source!BB29,Source!Q29)+H41+H42</f>
        <v>924.0936463600968</v>
      </c>
      <c r="I44" s="29"/>
      <c r="J44" s="29"/>
      <c r="K44" s="28">
        <f>Source!S29+Source!Q29+K41+K42</f>
        <v>6177.88</v>
      </c>
      <c r="L44" s="29">
        <f>Source!U29</f>
        <v>20.48</v>
      </c>
      <c r="M44" s="23">
        <f>H44</f>
        <v>924.0936463600968</v>
      </c>
      <c r="N44">
        <f>IF(Source!BA29&lt;&gt;0,Source!S29/Source!BA29,Source!S29)</f>
        <v>176.9313953488372</v>
      </c>
      <c r="O44">
        <f>IF(Source!BI29=1,(IF(Source!BA29&lt;&gt;0,Source!S29/Source!BA29,Source!S29)+IF(Source!BB29&lt;&gt;0,Source!Q29/Source!BB29,Source!Q29)+IF(Source!BC29&lt;&gt;0,Source!P29/Source!BC29,Source!P29)+((Source!AT29/100)*((Source!S29/IF(Source!BA29&lt;&gt;0,Source!BA29,1))+(Source!R29/IF(Source!BS29&lt;&gt;0,Source!BS29,1))))+((Source!AU29/100)*((Source!S29/IF(Source!BA29&lt;&gt;0,Source!BA29,1))+(Source!R29/IF(Source!BS29&lt;&gt;0,Source!BS29,1))))),0)</f>
        <v>924.0936463600968</v>
      </c>
      <c r="P44">
        <f>IF(Source!BI29=2,(IF(Source!BA29&lt;&gt;0,Source!S29/Source!BA29,Source!S29)+IF(Source!BB29&lt;&gt;0,Source!Q29/Source!BB29,Source!Q29)+IF(Source!BC29&lt;&gt;0,Source!P29/Source!BC29,Source!P29)+((Source!AT29/100)*((Source!S29/IF(Source!BA29&lt;&gt;0,Source!BA29,1))+(Source!R29/IF(Source!BS29&lt;&gt;0,Source!BS29,1))))+((Source!AU29/100)*((Source!S29/IF(Source!BA29&lt;&gt;0,Source!BA29,1))+(Source!R29/IF(Source!BS29&lt;&gt;0,Source!BS29,1))))),0)</f>
        <v>0</v>
      </c>
      <c r="Q44">
        <f>IF(Source!BI29=3,(IF(Source!BA29&lt;&gt;0,Source!S29/Source!BA29,Source!S29)+IF(Source!BB29&lt;&gt;0,Source!Q29/Source!BB29,Source!Q29)+IF(Source!BC29&lt;&gt;0,Source!P29/Source!BC29,Source!P29)+((Source!AT29/100)*((Source!S29/IF(Source!BA29&lt;&gt;0,Source!BA29,1))+(Source!R29/IF(Source!BS29&lt;&gt;0,Source!BS29,1))))+((Source!AU29/100)*((Source!S29/IF(Source!BA29&lt;&gt;0,Source!BA29,1))+(Source!R29/IF(Source!BS29&lt;&gt;0,Source!BS29,1))))),0)</f>
        <v>0</v>
      </c>
      <c r="R44">
        <f>IF(Source!BI29=4,(IF(Source!BA29&lt;&gt;0,Source!S29/Source!BA29,Source!S29)+IF(Source!BB29&lt;&gt;0,Source!Q29/Source!BB29,Source!Q29)+IF(Source!BC29&lt;&gt;0,Source!P29/Source!BC29,Source!P29)+((Source!AT29/100)*((Source!S29/IF(Source!BA29&lt;&gt;0,Source!BA29,1))+(Source!R29/IF(Source!BS29&lt;&gt;0,Source!BS29,1))))+((Source!AU29/100)*((Source!S29/IF(Source!BA29&lt;&gt;0,Source!BA29,1))+(Source!R29/IF(Source!BS29&lt;&gt;0,Source!BS29,1))))),0)</f>
        <v>0</v>
      </c>
      <c r="S44">
        <f>IF(Source!BI29=1,Source!O29+Source!X29+Source!Y29,0)</f>
        <v>6177.88</v>
      </c>
      <c r="T44">
        <f>IF(Source!BI29=2,Source!O29+Source!X29+Source!Y29,0)</f>
        <v>0</v>
      </c>
      <c r="U44">
        <f>IF(Source!BI29=3,Source!O29+Source!X29+Source!Y29,0)</f>
        <v>0</v>
      </c>
      <c r="V44">
        <f>IF(Source!BI29=4,Source!O29+Source!X29+Source!Y29,0)</f>
        <v>0</v>
      </c>
      <c r="W44">
        <f>IF(Source!BS29&lt;&gt;0,Source!R29/Source!BS29,Source!R29)</f>
        <v>28.367441860465117</v>
      </c>
    </row>
    <row r="45" spans="1:12" ht="30">
      <c r="A45" s="18" t="str">
        <f>Source!E30</f>
        <v>3</v>
      </c>
      <c r="B45" s="18" t="str">
        <f>Source!F30</f>
        <v>01-02-111-6</v>
      </c>
      <c r="C45" s="19" t="str">
        <f>Source!G30</f>
        <v>Корчевка вручную пней диаметром от 360 до 400 мм</v>
      </c>
      <c r="D45" s="20" t="str">
        <f>Source!H30</f>
        <v>100 шт,</v>
      </c>
      <c r="E45" s="8">
        <f>ROUND(Source!I30,6)</f>
        <v>0.01</v>
      </c>
      <c r="F45" s="8">
        <f>IF(Source!AK30&lt;&gt;0,Source!AK30,Source!AL30+Source!AM30+Source!AO30)</f>
        <v>1497.6</v>
      </c>
      <c r="G45" s="8"/>
      <c r="H45" s="8"/>
      <c r="I45" s="8"/>
      <c r="J45" s="8"/>
      <c r="K45" s="8"/>
      <c r="L45" s="8"/>
    </row>
    <row r="46" spans="1:12" ht="15">
      <c r="A46" s="6"/>
      <c r="B46" s="6"/>
      <c r="C46" s="6" t="s">
        <v>498</v>
      </c>
      <c r="D46" s="6"/>
      <c r="E46" s="6"/>
      <c r="F46" s="6">
        <f>Source!AO30</f>
        <v>1497.6</v>
      </c>
      <c r="G46" s="21">
        <f>Source!DG30</f>
      </c>
      <c r="H46" s="22">
        <f>IF(Source!BA30&lt;&gt;0,Source!S30/Source!BA30,Source!S30)</f>
        <v>14.975581395348836</v>
      </c>
      <c r="I46" s="6" t="str">
        <f>IF(Source!BO30&lt;&gt;"",Source!BO30,"")</f>
        <v>01-02-111-6</v>
      </c>
      <c r="J46" s="6">
        <f>Source!BA30</f>
        <v>8.6</v>
      </c>
      <c r="K46" s="22">
        <f>Source!S30</f>
        <v>128.79</v>
      </c>
      <c r="L46" s="6"/>
    </row>
    <row r="47" spans="1:12" ht="15">
      <c r="A47" s="6"/>
      <c r="B47" s="6"/>
      <c r="C47" s="6" t="s">
        <v>500</v>
      </c>
      <c r="D47" s="9" t="s">
        <v>501</v>
      </c>
      <c r="E47" s="6"/>
      <c r="F47" s="6">
        <f>Source!AT30</f>
        <v>75.2</v>
      </c>
      <c r="G47" s="6"/>
      <c r="H47" s="22">
        <f>(F47/100)*((Source!S30/IF(Source!BA30&lt;&gt;0,Source!BA30,1))+(Source!R30/IF(Source!BS30&lt;&gt;0,Source!BS30,1)))</f>
        <v>11.261637209302325</v>
      </c>
      <c r="I47" s="6"/>
      <c r="J47" s="6">
        <f>Source!AT30</f>
        <v>75.2</v>
      </c>
      <c r="K47" s="22">
        <f>Source!X30</f>
        <v>96.85</v>
      </c>
      <c r="L47" s="6"/>
    </row>
    <row r="48" spans="1:12" ht="15">
      <c r="A48" s="6"/>
      <c r="B48" s="6"/>
      <c r="C48" s="6" t="s">
        <v>502</v>
      </c>
      <c r="D48" s="9" t="s">
        <v>501</v>
      </c>
      <c r="E48" s="6"/>
      <c r="F48" s="6">
        <f>Source!AU30</f>
        <v>45</v>
      </c>
      <c r="G48" s="6"/>
      <c r="H48" s="22">
        <f>(F48/100)*((Source!S30/IF(Source!BA30&lt;&gt;0,Source!BA30,1))+(Source!R30/IF(Source!BS30&lt;&gt;0,Source!BS30,1)))</f>
        <v>6.739011627906977</v>
      </c>
      <c r="I48" s="6"/>
      <c r="J48" s="6">
        <f>Source!AU30</f>
        <v>45</v>
      </c>
      <c r="K48" s="22">
        <f>Source!Y30</f>
        <v>57.96</v>
      </c>
      <c r="L48" s="6"/>
    </row>
    <row r="49" spans="1:12" ht="15">
      <c r="A49" s="25"/>
      <c r="B49" s="25"/>
      <c r="C49" s="25" t="s">
        <v>503</v>
      </c>
      <c r="D49" s="26" t="s">
        <v>504</v>
      </c>
      <c r="E49" s="25">
        <f>Source!AQ30</f>
        <v>192</v>
      </c>
      <c r="F49" s="25"/>
      <c r="G49" s="27">
        <f>Source!DI30</f>
      </c>
      <c r="H49" s="25"/>
      <c r="I49" s="25"/>
      <c r="J49" s="25"/>
      <c r="K49" s="25"/>
      <c r="L49" s="25">
        <f>Source!U30</f>
        <v>1.92</v>
      </c>
    </row>
    <row r="50" spans="1:23" ht="15.75">
      <c r="A50" s="6"/>
      <c r="B50" s="6"/>
      <c r="C50" s="6"/>
      <c r="D50" s="6"/>
      <c r="E50" s="6"/>
      <c r="F50" s="6"/>
      <c r="G50" s="6"/>
      <c r="H50" s="28">
        <f>IF(Source!BA30&lt;&gt;0,Source!S30/Source!BA30,Source!S30)+IF(Source!BB30&lt;&gt;0,Source!Q30/Source!BB30,Source!Q30)+H47+H48</f>
        <v>32.97623023255814</v>
      </c>
      <c r="I50" s="29"/>
      <c r="J50" s="29"/>
      <c r="K50" s="28">
        <f>Source!S30+Source!Q30+K47+K48</f>
        <v>283.59999999999997</v>
      </c>
      <c r="L50" s="29">
        <f>Source!U30</f>
        <v>1.92</v>
      </c>
      <c r="M50" s="23">
        <f>H50</f>
        <v>32.97623023255814</v>
      </c>
      <c r="N50">
        <f>IF(Source!BA30&lt;&gt;0,Source!S30/Source!BA30,Source!S30)</f>
        <v>14.975581395348836</v>
      </c>
      <c r="O50">
        <f>IF(Source!BI30=1,(IF(Source!BA30&lt;&gt;0,Source!S30/Source!BA30,Source!S30)+IF(Source!BB30&lt;&gt;0,Source!Q30/Source!BB30,Source!Q30)+IF(Source!BC30&lt;&gt;0,Source!P30/Source!BC30,Source!P30)+((Source!AT30/100)*((Source!S30/IF(Source!BA30&lt;&gt;0,Source!BA30,1))+(Source!R30/IF(Source!BS30&lt;&gt;0,Source!BS30,1))))+((Source!AU30/100)*((Source!S30/IF(Source!BA30&lt;&gt;0,Source!BA30,1))+(Source!R30/IF(Source!BS30&lt;&gt;0,Source!BS30,1))))),0)</f>
        <v>32.97623023255814</v>
      </c>
      <c r="P50">
        <f>IF(Source!BI30=2,(IF(Source!BA30&lt;&gt;0,Source!S30/Source!BA30,Source!S30)+IF(Source!BB30&lt;&gt;0,Source!Q30/Source!BB30,Source!Q30)+IF(Source!BC30&lt;&gt;0,Source!P30/Source!BC30,Source!P30)+((Source!AT30/100)*((Source!S30/IF(Source!BA30&lt;&gt;0,Source!BA30,1))+(Source!R30/IF(Source!BS30&lt;&gt;0,Source!BS30,1))))+((Source!AU30/100)*((Source!S30/IF(Source!BA30&lt;&gt;0,Source!BA30,1))+(Source!R30/IF(Source!BS30&lt;&gt;0,Source!BS30,1))))),0)</f>
        <v>0</v>
      </c>
      <c r="Q50">
        <f>IF(Source!BI30=3,(IF(Source!BA30&lt;&gt;0,Source!S30/Source!BA30,Source!S30)+IF(Source!BB30&lt;&gt;0,Source!Q30/Source!BB30,Source!Q30)+IF(Source!BC30&lt;&gt;0,Source!P30/Source!BC30,Source!P30)+((Source!AT30/100)*((Source!S30/IF(Source!BA30&lt;&gt;0,Source!BA30,1))+(Source!R30/IF(Source!BS30&lt;&gt;0,Source!BS30,1))))+((Source!AU30/100)*((Source!S30/IF(Source!BA30&lt;&gt;0,Source!BA30,1))+(Source!R30/IF(Source!BS30&lt;&gt;0,Source!BS30,1))))),0)</f>
        <v>0</v>
      </c>
      <c r="R50">
        <f>IF(Source!BI30=4,(IF(Source!BA30&lt;&gt;0,Source!S30/Source!BA30,Source!S30)+IF(Source!BB30&lt;&gt;0,Source!Q30/Source!BB30,Source!Q30)+IF(Source!BC30&lt;&gt;0,Source!P30/Source!BC30,Source!P30)+((Source!AT30/100)*((Source!S30/IF(Source!BA30&lt;&gt;0,Source!BA30,1))+(Source!R30/IF(Source!BS30&lt;&gt;0,Source!BS30,1))))+((Source!AU30/100)*((Source!S30/IF(Source!BA30&lt;&gt;0,Source!BA30,1))+(Source!R30/IF(Source!BS30&lt;&gt;0,Source!BS30,1))))),0)</f>
        <v>0</v>
      </c>
      <c r="S50">
        <f>IF(Source!BI30=1,Source!O30+Source!X30+Source!Y30,0)</f>
        <v>283.59999999999997</v>
      </c>
      <c r="T50">
        <f>IF(Source!BI30=2,Source!O30+Source!X30+Source!Y30,0)</f>
        <v>0</v>
      </c>
      <c r="U50">
        <f>IF(Source!BI30=3,Source!O30+Source!X30+Source!Y30,0)</f>
        <v>0</v>
      </c>
      <c r="V50">
        <f>IF(Source!BI30=4,Source!O30+Source!X30+Source!Y30,0)</f>
        <v>0</v>
      </c>
      <c r="W50">
        <f>IF(Source!BS30&lt;&gt;0,Source!R30/Source!BS30,Source!R30)</f>
        <v>0</v>
      </c>
    </row>
    <row r="51" spans="1:12" ht="45">
      <c r="A51" s="18" t="str">
        <f>Source!E31</f>
        <v>4</v>
      </c>
      <c r="B51" s="18" t="str">
        <f>Source!F31</f>
        <v>27-12-010-2</v>
      </c>
      <c r="C51" s="19" t="str">
        <f>Source!G31</f>
        <v>Устройство дорог из сборных железобетонных плит площадью: более 3 м2</v>
      </c>
      <c r="D51" s="20" t="str">
        <f>Source!H31</f>
        <v>100 м3</v>
      </c>
      <c r="E51" s="8">
        <f>ROUND(Source!I31,6)</f>
        <v>0.0168</v>
      </c>
      <c r="F51" s="8">
        <f>IF(Source!AK31&lt;&gt;0,Source!AK31,Source!AL31+Source!AM31+Source!AO31)</f>
        <v>98146.58</v>
      </c>
      <c r="G51" s="8"/>
      <c r="H51" s="8"/>
      <c r="I51" s="8"/>
      <c r="J51" s="8"/>
      <c r="K51" s="8"/>
      <c r="L51" s="8"/>
    </row>
    <row r="52" spans="1:12" ht="15">
      <c r="A52" s="6"/>
      <c r="B52" s="6"/>
      <c r="C52" s="6" t="s">
        <v>498</v>
      </c>
      <c r="D52" s="6"/>
      <c r="E52" s="6"/>
      <c r="F52" s="6">
        <f>Source!AO31</f>
        <v>429.31</v>
      </c>
      <c r="G52" s="21">
        <f>Source!DG31</f>
      </c>
      <c r="H52" s="22">
        <f>IF(Source!BA31&lt;&gt;0,Source!S31/Source!BA31,Source!S31)</f>
        <v>7.212790697674419</v>
      </c>
      <c r="I52" s="6" t="str">
        <f>IF(Source!BO31&lt;&gt;"",Source!BO31,"")</f>
        <v>27-12-010-2</v>
      </c>
      <c r="J52" s="6">
        <f>Source!BA31</f>
        <v>8.6</v>
      </c>
      <c r="K52" s="22">
        <f>Source!S31</f>
        <v>62.03</v>
      </c>
      <c r="L52" s="6"/>
    </row>
    <row r="53" spans="1:12" ht="15">
      <c r="A53" s="6"/>
      <c r="B53" s="6"/>
      <c r="C53" s="6" t="s">
        <v>65</v>
      </c>
      <c r="D53" s="6"/>
      <c r="E53" s="6"/>
      <c r="F53" s="6">
        <f>Source!AM31</f>
        <v>1252.06</v>
      </c>
      <c r="G53" s="21">
        <f>Source!DE31</f>
      </c>
      <c r="H53" s="22">
        <f>IF(Source!BB31&lt;&gt;0,Source!Q31/Source!BB31,Source!Q31)</f>
        <v>21.035046728971963</v>
      </c>
      <c r="I53" s="6"/>
      <c r="J53" s="6">
        <f>Source!BB31</f>
        <v>4.28</v>
      </c>
      <c r="K53" s="22">
        <f>Source!Q31</f>
        <v>90.03</v>
      </c>
      <c r="L53" s="6"/>
    </row>
    <row r="54" spans="1:12" ht="15">
      <c r="A54" s="6"/>
      <c r="B54" s="6"/>
      <c r="C54" s="6" t="s">
        <v>499</v>
      </c>
      <c r="D54" s="6"/>
      <c r="E54" s="6"/>
      <c r="F54" s="6">
        <f>Source!AN31</f>
        <v>149.98</v>
      </c>
      <c r="G54" s="21">
        <f>Source!DF31</f>
      </c>
      <c r="H54" s="24">
        <f>IF(Source!BS31&lt;&gt;0,Source!R31/Source!BS31,Source!R31)</f>
        <v>2.5197674418604654</v>
      </c>
      <c r="I54" s="6"/>
      <c r="J54" s="6">
        <f>Source!BS31</f>
        <v>8.6</v>
      </c>
      <c r="K54" s="9">
        <f>Source!R31</f>
        <v>21.67</v>
      </c>
      <c r="L54" s="6"/>
    </row>
    <row r="55" spans="1:12" ht="15">
      <c r="A55" s="6"/>
      <c r="B55" s="6"/>
      <c r="C55" s="6" t="s">
        <v>505</v>
      </c>
      <c r="D55" s="6"/>
      <c r="E55" s="6"/>
      <c r="F55" s="6">
        <f>Source!AL31</f>
        <v>96465.21</v>
      </c>
      <c r="G55" s="21">
        <f>Source!DD31</f>
      </c>
      <c r="H55" s="22">
        <f>IF(Source!BC31&lt;&gt;0,Source!P31/Source!BC31,Source!P31)</f>
        <v>1620.615702479339</v>
      </c>
      <c r="I55" s="6"/>
      <c r="J55" s="6">
        <f>Source!BC31</f>
        <v>7.26</v>
      </c>
      <c r="K55" s="22">
        <f>Source!P31</f>
        <v>11765.67</v>
      </c>
      <c r="L55" s="6"/>
    </row>
    <row r="56" spans="1:12" ht="15">
      <c r="A56" s="6"/>
      <c r="B56" s="6"/>
      <c r="C56" s="6" t="s">
        <v>500</v>
      </c>
      <c r="D56" s="9" t="s">
        <v>501</v>
      </c>
      <c r="E56" s="6"/>
      <c r="F56" s="6">
        <f>Source!AT31</f>
        <v>133.48</v>
      </c>
      <c r="G56" s="6"/>
      <c r="H56" s="22">
        <f>(F56/100)*((Source!S31/IF(Source!BA31&lt;&gt;0,Source!BA31,1))+(Source!R31/IF(Source!BS31&lt;&gt;0,Source!BS31,1)))</f>
        <v>12.991018604651163</v>
      </c>
      <c r="I56" s="6"/>
      <c r="J56" s="6">
        <f>Source!AT31</f>
        <v>133.48</v>
      </c>
      <c r="K56" s="22">
        <f>Source!X31</f>
        <v>111.72</v>
      </c>
      <c r="L56" s="6"/>
    </row>
    <row r="57" spans="1:12" ht="15">
      <c r="A57" s="6"/>
      <c r="B57" s="6"/>
      <c r="C57" s="6" t="s">
        <v>502</v>
      </c>
      <c r="D57" s="9" t="s">
        <v>501</v>
      </c>
      <c r="E57" s="6"/>
      <c r="F57" s="6">
        <f>Source!AU31</f>
        <v>95</v>
      </c>
      <c r="G57" s="6"/>
      <c r="H57" s="22">
        <f>(F57/100)*((Source!S31/IF(Source!BA31&lt;&gt;0,Source!BA31,1))+(Source!R31/IF(Source!BS31&lt;&gt;0,Source!BS31,1)))</f>
        <v>9.24593023255814</v>
      </c>
      <c r="I57" s="6"/>
      <c r="J57" s="6">
        <f>Source!AU31</f>
        <v>95</v>
      </c>
      <c r="K57" s="22">
        <f>Source!Y31</f>
        <v>79.52</v>
      </c>
      <c r="L57" s="6"/>
    </row>
    <row r="58" spans="1:12" ht="15">
      <c r="A58" s="25"/>
      <c r="B58" s="25"/>
      <c r="C58" s="25" t="s">
        <v>503</v>
      </c>
      <c r="D58" s="26" t="s">
        <v>504</v>
      </c>
      <c r="E58" s="25">
        <f>Source!AQ31</f>
        <v>51.23</v>
      </c>
      <c r="F58" s="25"/>
      <c r="G58" s="27">
        <f>Source!DI31</f>
      </c>
      <c r="H58" s="25"/>
      <c r="I58" s="25"/>
      <c r="J58" s="25"/>
      <c r="K58" s="25"/>
      <c r="L58" s="25">
        <f>Source!U31</f>
        <v>0.86</v>
      </c>
    </row>
    <row r="59" spans="1:23" ht="15.75">
      <c r="A59" s="6"/>
      <c r="B59" s="6"/>
      <c r="C59" s="6"/>
      <c r="D59" s="6"/>
      <c r="E59" s="6"/>
      <c r="F59" s="6"/>
      <c r="G59" s="6"/>
      <c r="H59" s="28">
        <f>IF(Source!BA31&lt;&gt;0,Source!S31/Source!BA31,Source!S31)+IF(Source!BB31&lt;&gt;0,Source!Q31/Source!BB31,Source!Q31)+H55+H56+H57</f>
        <v>1671.1004887431945</v>
      </c>
      <c r="I59" s="29"/>
      <c r="J59" s="29"/>
      <c r="K59" s="28">
        <f>Source!S31+Source!Q31+K55+K56+K57</f>
        <v>12108.97</v>
      </c>
      <c r="L59" s="29">
        <f>Source!U31</f>
        <v>0.86</v>
      </c>
      <c r="M59" s="23">
        <f>H59</f>
        <v>1671.1004887431945</v>
      </c>
      <c r="N59">
        <f>IF(Source!BA31&lt;&gt;0,Source!S31/Source!BA31,Source!S31)</f>
        <v>7.212790697674419</v>
      </c>
      <c r="O59">
        <f>IF(Source!BI31=1,(IF(Source!BA31&lt;&gt;0,Source!S31/Source!BA31,Source!S31)+IF(Source!BB31&lt;&gt;0,Source!Q31/Source!BB31,Source!Q31)+IF(Source!BC31&lt;&gt;0,Source!P31/Source!BC31,Source!P31)+((Source!AT31/100)*((Source!S31/IF(Source!BA31&lt;&gt;0,Source!BA31,1))+(Source!R31/IF(Source!BS31&lt;&gt;0,Source!BS31,1))))+((Source!AU31/100)*((Source!S31/IF(Source!BA31&lt;&gt;0,Source!BA31,1))+(Source!R31/IF(Source!BS31&lt;&gt;0,Source!BS31,1))))),0)</f>
        <v>1671.1004887431945</v>
      </c>
      <c r="P59">
        <f>IF(Source!BI31=2,(IF(Source!BA31&lt;&gt;0,Source!S31/Source!BA31,Source!S31)+IF(Source!BB31&lt;&gt;0,Source!Q31/Source!BB31,Source!Q31)+IF(Source!BC31&lt;&gt;0,Source!P31/Source!BC31,Source!P31)+((Source!AT31/100)*((Source!S31/IF(Source!BA31&lt;&gt;0,Source!BA31,1))+(Source!R31/IF(Source!BS31&lt;&gt;0,Source!BS31,1))))+((Source!AU31/100)*((Source!S31/IF(Source!BA31&lt;&gt;0,Source!BA31,1))+(Source!R31/IF(Source!BS31&lt;&gt;0,Source!BS31,1))))),0)</f>
        <v>0</v>
      </c>
      <c r="Q59">
        <f>IF(Source!BI31=3,(IF(Source!BA31&lt;&gt;0,Source!S31/Source!BA31,Source!S31)+IF(Source!BB31&lt;&gt;0,Source!Q31/Source!BB31,Source!Q31)+IF(Source!BC31&lt;&gt;0,Source!P31/Source!BC31,Source!P31)+((Source!AT31/100)*((Source!S31/IF(Source!BA31&lt;&gt;0,Source!BA31,1))+(Source!R31/IF(Source!BS31&lt;&gt;0,Source!BS31,1))))+((Source!AU31/100)*((Source!S31/IF(Source!BA31&lt;&gt;0,Source!BA31,1))+(Source!R31/IF(Source!BS31&lt;&gt;0,Source!BS31,1))))),0)</f>
        <v>0</v>
      </c>
      <c r="R59">
        <f>IF(Source!BI31=4,(IF(Source!BA31&lt;&gt;0,Source!S31/Source!BA31,Source!S31)+IF(Source!BB31&lt;&gt;0,Source!Q31/Source!BB31,Source!Q31)+IF(Source!BC31&lt;&gt;0,Source!P31/Source!BC31,Source!P31)+((Source!AT31/100)*((Source!S31/IF(Source!BA31&lt;&gt;0,Source!BA31,1))+(Source!R31/IF(Source!BS31&lt;&gt;0,Source!BS31,1))))+((Source!AU31/100)*((Source!S31/IF(Source!BA31&lt;&gt;0,Source!BA31,1))+(Source!R31/IF(Source!BS31&lt;&gt;0,Source!BS31,1))))),0)</f>
        <v>0</v>
      </c>
      <c r="S59">
        <f>IF(Source!BI31=1,Source!O31+Source!X31+Source!Y31,0)</f>
        <v>12108.97</v>
      </c>
      <c r="T59">
        <f>IF(Source!BI31=2,Source!O31+Source!X31+Source!Y31,0)</f>
        <v>0</v>
      </c>
      <c r="U59">
        <f>IF(Source!BI31=3,Source!O31+Source!X31+Source!Y31,0)</f>
        <v>0</v>
      </c>
      <c r="V59">
        <f>IF(Source!BI31=4,Source!O31+Source!X31+Source!Y31,0)</f>
        <v>0</v>
      </c>
      <c r="W59">
        <f>IF(Source!BS31&lt;&gt;0,Source!R31/Source!BS31,Source!R31)</f>
        <v>2.5197674418604654</v>
      </c>
    </row>
    <row r="60" spans="1:12" ht="75">
      <c r="A60" s="18" t="str">
        <f>Source!E32</f>
        <v>5</v>
      </c>
      <c r="B60" s="18" t="str">
        <f>Source!F32</f>
        <v>01-01-013-8</v>
      </c>
      <c r="C60" s="19" t="str">
        <f>Source!G32</f>
        <v>Разработка грунта с погрузкой на автомобили-самосвалы экскаваторами с ковшом вместимостью 0,65 (0,5-1) м3, группа грунтов 2</v>
      </c>
      <c r="D60" s="20" t="str">
        <f>Source!H32</f>
        <v>1000 м3</v>
      </c>
      <c r="E60" s="8">
        <f>ROUND(Source!I32,6)</f>
        <v>0.225</v>
      </c>
      <c r="F60" s="8">
        <f>IF(Source!AK32&lt;&gt;0,Source!AK32,Source!AL32+Source!AM32+Source!AO32)</f>
        <v>3894.47</v>
      </c>
      <c r="G60" s="8"/>
      <c r="H60" s="8"/>
      <c r="I60" s="8"/>
      <c r="J60" s="8"/>
      <c r="K60" s="8"/>
      <c r="L60" s="8"/>
    </row>
    <row r="61" spans="1:12" ht="15">
      <c r="A61" s="6"/>
      <c r="B61" s="6"/>
      <c r="C61" s="6" t="s">
        <v>498</v>
      </c>
      <c r="D61" s="6"/>
      <c r="E61" s="6"/>
      <c r="F61" s="6">
        <f>Source!AO32</f>
        <v>89</v>
      </c>
      <c r="G61" s="21">
        <f>Source!DG32</f>
      </c>
      <c r="H61" s="22">
        <f>IF(Source!BA32&lt;&gt;0,Source!S32/Source!BA32,Source!S32)</f>
        <v>20.025581395348837</v>
      </c>
      <c r="I61" s="6" t="str">
        <f>IF(Source!BO32&lt;&gt;"",Source!BO32,"")</f>
        <v>01-01-013-8</v>
      </c>
      <c r="J61" s="6">
        <f>Source!BA32</f>
        <v>8.6</v>
      </c>
      <c r="K61" s="22">
        <f>Source!S32</f>
        <v>172.22</v>
      </c>
      <c r="L61" s="6"/>
    </row>
    <row r="62" spans="1:12" ht="15">
      <c r="A62" s="6"/>
      <c r="B62" s="6"/>
      <c r="C62" s="6" t="s">
        <v>65</v>
      </c>
      <c r="D62" s="6"/>
      <c r="E62" s="6"/>
      <c r="F62" s="6">
        <f>Source!AM32</f>
        <v>3801.13</v>
      </c>
      <c r="G62" s="21">
        <f>Source!DE32</f>
      </c>
      <c r="H62" s="22">
        <f>IF(Source!BB32&lt;&gt;0,Source!Q32/Source!BB32,Source!Q32)</f>
        <v>855.2543859649123</v>
      </c>
      <c r="I62" s="6"/>
      <c r="J62" s="6">
        <f>Source!BB32</f>
        <v>4.56</v>
      </c>
      <c r="K62" s="22">
        <f>Source!Q32</f>
        <v>3899.96</v>
      </c>
      <c r="L62" s="6"/>
    </row>
    <row r="63" spans="1:12" ht="15">
      <c r="A63" s="6"/>
      <c r="B63" s="6"/>
      <c r="C63" s="6" t="s">
        <v>499</v>
      </c>
      <c r="D63" s="6"/>
      <c r="E63" s="6"/>
      <c r="F63" s="6">
        <f>Source!AN32</f>
        <v>453.78</v>
      </c>
      <c r="G63" s="21">
        <f>Source!DF32</f>
      </c>
      <c r="H63" s="24">
        <f>IF(Source!BS32&lt;&gt;0,Source!R32/Source!BS32,Source!R32)</f>
        <v>102.1</v>
      </c>
      <c r="I63" s="6"/>
      <c r="J63" s="6">
        <f>Source!BS32</f>
        <v>8.6</v>
      </c>
      <c r="K63" s="9">
        <f>Source!R32</f>
        <v>878.06</v>
      </c>
      <c r="L63" s="6"/>
    </row>
    <row r="64" spans="1:12" ht="15">
      <c r="A64" s="6"/>
      <c r="B64" s="6"/>
      <c r="C64" s="6" t="s">
        <v>505</v>
      </c>
      <c r="D64" s="6"/>
      <c r="E64" s="6"/>
      <c r="F64" s="6">
        <f>Source!AL32</f>
        <v>4.34</v>
      </c>
      <c r="G64" s="21">
        <f>Source!DD32</f>
      </c>
      <c r="H64" s="22">
        <f>IF(Source!BC32&lt;&gt;0,Source!P32/Source!BC32,Source!P32)</f>
        <v>0.9760225669957687</v>
      </c>
      <c r="I64" s="6"/>
      <c r="J64" s="6">
        <f>Source!BC32</f>
        <v>7.09</v>
      </c>
      <c r="K64" s="22">
        <f>Source!P32</f>
        <v>6.92</v>
      </c>
      <c r="L64" s="6"/>
    </row>
    <row r="65" spans="1:12" ht="15">
      <c r="A65" s="6"/>
      <c r="B65" s="6"/>
      <c r="C65" s="6" t="s">
        <v>500</v>
      </c>
      <c r="D65" s="9" t="s">
        <v>501</v>
      </c>
      <c r="E65" s="6"/>
      <c r="F65" s="6">
        <f>Source!AT32</f>
        <v>89.3</v>
      </c>
      <c r="G65" s="6"/>
      <c r="H65" s="22">
        <f>(F65/100)*((Source!S32/IF(Source!BA32&lt;&gt;0,Source!BA32,1))+(Source!R32/IF(Source!BS32&lt;&gt;0,Source!BS32,1)))</f>
        <v>109.0581441860465</v>
      </c>
      <c r="I65" s="6"/>
      <c r="J65" s="6">
        <f>Source!AT32</f>
        <v>89.3</v>
      </c>
      <c r="K65" s="22">
        <f>Source!X32</f>
        <v>937.9</v>
      </c>
      <c r="L65" s="6"/>
    </row>
    <row r="66" spans="1:12" ht="15">
      <c r="A66" s="6"/>
      <c r="B66" s="6"/>
      <c r="C66" s="6" t="s">
        <v>502</v>
      </c>
      <c r="D66" s="9" t="s">
        <v>501</v>
      </c>
      <c r="E66" s="6"/>
      <c r="F66" s="6">
        <f>Source!AU32</f>
        <v>50</v>
      </c>
      <c r="G66" s="6"/>
      <c r="H66" s="22">
        <f>(F66/100)*((Source!S32/IF(Source!BA32&lt;&gt;0,Source!BA32,1))+(Source!R32/IF(Source!BS32&lt;&gt;0,Source!BS32,1)))</f>
        <v>61.062790697674416</v>
      </c>
      <c r="I66" s="6"/>
      <c r="J66" s="6">
        <f>Source!AU32</f>
        <v>50</v>
      </c>
      <c r="K66" s="22">
        <f>Source!Y32</f>
        <v>525.14</v>
      </c>
      <c r="L66" s="6"/>
    </row>
    <row r="67" spans="1:12" ht="15">
      <c r="A67" s="25"/>
      <c r="B67" s="25"/>
      <c r="C67" s="25" t="s">
        <v>503</v>
      </c>
      <c r="D67" s="26" t="s">
        <v>504</v>
      </c>
      <c r="E67" s="25">
        <f>Source!AQ32</f>
        <v>11.41</v>
      </c>
      <c r="F67" s="25"/>
      <c r="G67" s="27">
        <f>Source!DI32</f>
      </c>
      <c r="H67" s="25"/>
      <c r="I67" s="25"/>
      <c r="J67" s="25"/>
      <c r="K67" s="25"/>
      <c r="L67" s="25">
        <f>Source!U32</f>
        <v>2.57</v>
      </c>
    </row>
    <row r="68" spans="1:23" ht="15.75">
      <c r="A68" s="6"/>
      <c r="B68" s="6"/>
      <c r="C68" s="6"/>
      <c r="D68" s="6"/>
      <c r="E68" s="6"/>
      <c r="F68" s="6"/>
      <c r="G68" s="6"/>
      <c r="H68" s="28">
        <f>IF(Source!BA32&lt;&gt;0,Source!S32/Source!BA32,Source!S32)+IF(Source!BB32&lt;&gt;0,Source!Q32/Source!BB32,Source!Q32)+H64+H65+H66</f>
        <v>1046.376924810978</v>
      </c>
      <c r="I68" s="29"/>
      <c r="J68" s="29"/>
      <c r="K68" s="28">
        <f>Source!S32+Source!Q32+K64+K65+K66</f>
        <v>5542.14</v>
      </c>
      <c r="L68" s="29">
        <f>Source!U32</f>
        <v>2.57</v>
      </c>
      <c r="M68" s="23">
        <f>H68</f>
        <v>1046.376924810978</v>
      </c>
      <c r="N68">
        <f>IF(Source!BA32&lt;&gt;0,Source!S32/Source!BA32,Source!S32)</f>
        <v>20.025581395348837</v>
      </c>
      <c r="O68">
        <f>IF(Source!BI32=1,(IF(Source!BA32&lt;&gt;0,Source!S32/Source!BA32,Source!S32)+IF(Source!BB32&lt;&gt;0,Source!Q32/Source!BB32,Source!Q32)+IF(Source!BC32&lt;&gt;0,Source!P32/Source!BC32,Source!P32)+((Source!AT32/100)*((Source!S32/IF(Source!BA32&lt;&gt;0,Source!BA32,1))+(Source!R32/IF(Source!BS32&lt;&gt;0,Source!BS32,1))))+((Source!AU32/100)*((Source!S32/IF(Source!BA32&lt;&gt;0,Source!BA32,1))+(Source!R32/IF(Source!BS32&lt;&gt;0,Source!BS32,1))))),0)</f>
        <v>1046.376924810978</v>
      </c>
      <c r="P68">
        <f>IF(Source!BI32=2,(IF(Source!BA32&lt;&gt;0,Source!S32/Source!BA32,Source!S32)+IF(Source!BB32&lt;&gt;0,Source!Q32/Source!BB32,Source!Q32)+IF(Source!BC32&lt;&gt;0,Source!P32/Source!BC32,Source!P32)+((Source!AT32/100)*((Source!S32/IF(Source!BA32&lt;&gt;0,Source!BA32,1))+(Source!R32/IF(Source!BS32&lt;&gt;0,Source!BS32,1))))+((Source!AU32/100)*((Source!S32/IF(Source!BA32&lt;&gt;0,Source!BA32,1))+(Source!R32/IF(Source!BS32&lt;&gt;0,Source!BS32,1))))),0)</f>
        <v>0</v>
      </c>
      <c r="Q68">
        <f>IF(Source!BI32=3,(IF(Source!BA32&lt;&gt;0,Source!S32/Source!BA32,Source!S32)+IF(Source!BB32&lt;&gt;0,Source!Q32/Source!BB32,Source!Q32)+IF(Source!BC32&lt;&gt;0,Source!P32/Source!BC32,Source!P32)+((Source!AT32/100)*((Source!S32/IF(Source!BA32&lt;&gt;0,Source!BA32,1))+(Source!R32/IF(Source!BS32&lt;&gt;0,Source!BS32,1))))+((Source!AU32/100)*((Source!S32/IF(Source!BA32&lt;&gt;0,Source!BA32,1))+(Source!R32/IF(Source!BS32&lt;&gt;0,Source!BS32,1))))),0)</f>
        <v>0</v>
      </c>
      <c r="R68">
        <f>IF(Source!BI32=4,(IF(Source!BA32&lt;&gt;0,Source!S32/Source!BA32,Source!S32)+IF(Source!BB32&lt;&gt;0,Source!Q32/Source!BB32,Source!Q32)+IF(Source!BC32&lt;&gt;0,Source!P32/Source!BC32,Source!P32)+((Source!AT32/100)*((Source!S32/IF(Source!BA32&lt;&gt;0,Source!BA32,1))+(Source!R32/IF(Source!BS32&lt;&gt;0,Source!BS32,1))))+((Source!AU32/100)*((Source!S32/IF(Source!BA32&lt;&gt;0,Source!BA32,1))+(Source!R32/IF(Source!BS32&lt;&gt;0,Source!BS32,1))))),0)</f>
        <v>0</v>
      </c>
      <c r="S68">
        <f>IF(Source!BI32=1,Source!O32+Source!X32+Source!Y32,0)</f>
        <v>5542.14</v>
      </c>
      <c r="T68">
        <f>IF(Source!BI32=2,Source!O32+Source!X32+Source!Y32,0)</f>
        <v>0</v>
      </c>
      <c r="U68">
        <f>IF(Source!BI32=3,Source!O32+Source!X32+Source!Y32,0)</f>
        <v>0</v>
      </c>
      <c r="V68">
        <f>IF(Source!BI32=4,Source!O32+Source!X32+Source!Y32,0)</f>
        <v>0</v>
      </c>
      <c r="W68">
        <f>IF(Source!BS32&lt;&gt;0,Source!R32/Source!BS32,Source!R32)</f>
        <v>102.1</v>
      </c>
    </row>
    <row r="69" spans="1:12" ht="30">
      <c r="A69" s="18" t="str">
        <f>Source!E33</f>
        <v>6</v>
      </c>
      <c r="B69" s="18" t="str">
        <f>Source!F33</f>
        <v>Тех. часть</v>
      </c>
      <c r="C69" s="19" t="str">
        <f>Source!G33</f>
        <v>Отвозка грунта на 1 км. (225 м3 * 1,8 т.= 405 т.)</v>
      </c>
      <c r="D69" s="20" t="str">
        <f>Source!H33</f>
        <v>т</v>
      </c>
      <c r="E69" s="8">
        <f>ROUND(Source!I33,6)</f>
        <v>405</v>
      </c>
      <c r="F69" s="8">
        <f>IF(Source!AK33&lt;&gt;0,Source!AK33,Source!AL33+Source!AM33+Source!AO33)</f>
        <v>5.23</v>
      </c>
      <c r="G69" s="8"/>
      <c r="H69" s="8"/>
      <c r="I69" s="8"/>
      <c r="J69" s="8"/>
      <c r="K69" s="8"/>
      <c r="L69" s="8"/>
    </row>
    <row r="70" spans="1:12" ht="15">
      <c r="A70" s="25"/>
      <c r="B70" s="25"/>
      <c r="C70" s="25" t="s">
        <v>65</v>
      </c>
      <c r="D70" s="25"/>
      <c r="E70" s="25"/>
      <c r="F70" s="25">
        <f>Source!AM33</f>
        <v>5.23</v>
      </c>
      <c r="G70" s="27">
        <f>Source!DE33</f>
      </c>
      <c r="H70" s="30">
        <f>IF(Source!BB33&lt;&gt;0,Source!Q33/Source!BB33,Source!Q33)</f>
        <v>2118.15</v>
      </c>
      <c r="I70" s="25">
        <f>IF(Source!BO33&lt;&gt;"",Source!BO33,"")</f>
      </c>
      <c r="J70" s="25">
        <f>Source!BB33</f>
        <v>1</v>
      </c>
      <c r="K70" s="30">
        <f>Source!Q33</f>
        <v>2118.15</v>
      </c>
      <c r="L70" s="25"/>
    </row>
    <row r="71" spans="1:23" ht="15.75">
      <c r="A71" s="6"/>
      <c r="B71" s="6"/>
      <c r="C71" s="6"/>
      <c r="D71" s="6"/>
      <c r="E71" s="6"/>
      <c r="F71" s="6"/>
      <c r="G71" s="6"/>
      <c r="H71" s="28">
        <f>Source!S33/IF(Source!BA33&lt;&gt;0,Source!BA33,1)+Source!Q33/IF(Source!BB33&lt;&gt;0,Source!BB33,1)</f>
        <v>2118.15</v>
      </c>
      <c r="I71" s="29"/>
      <c r="J71" s="29"/>
      <c r="K71" s="28">
        <f>Source!S33+Source!Q33</f>
        <v>2118.15</v>
      </c>
      <c r="L71" s="29">
        <f>Source!U33</f>
        <v>0</v>
      </c>
      <c r="M71" s="23">
        <f>H71</f>
        <v>2118.15</v>
      </c>
      <c r="N71">
        <f>IF(Source!BA33&lt;&gt;0,Source!S33/Source!BA33,Source!S33)</f>
        <v>0</v>
      </c>
      <c r="O71">
        <f>IF(Source!BI33=1,(IF(Source!BA33&lt;&gt;0,Source!S33/Source!BA33,Source!S33)+IF(Source!BB33&lt;&gt;0,Source!Q33/Source!BB33,Source!Q33)+IF(Source!BC33&lt;&gt;0,Source!P33/Source!BC33,Source!P33)+((Source!AT33/100)*((Source!S33/IF(Source!BA33&lt;&gt;0,Source!BA33,1))+(Source!R33/IF(Source!BS33&lt;&gt;0,Source!BS33,1))))+((Source!AU33/100)*((Source!S33/IF(Source!BA33&lt;&gt;0,Source!BA33,1))+(Source!R33/IF(Source!BS33&lt;&gt;0,Source!BS33,1))))),0)</f>
        <v>0</v>
      </c>
      <c r="P71">
        <f>IF(Source!BI33=2,(IF(Source!BA33&lt;&gt;0,Source!S33/Source!BA33,Source!S33)+IF(Source!BB33&lt;&gt;0,Source!Q33/Source!BB33,Source!Q33)+IF(Source!BC33&lt;&gt;0,Source!P33/Source!BC33,Source!P33)+((Source!AT33/100)*((Source!S33/IF(Source!BA33&lt;&gt;0,Source!BA33,1))+(Source!R33/IF(Source!BS33&lt;&gt;0,Source!BS33,1))))+((Source!AU33/100)*((Source!S33/IF(Source!BA33&lt;&gt;0,Source!BA33,1))+(Source!R33/IF(Source!BS33&lt;&gt;0,Source!BS33,1))))),0)</f>
        <v>0</v>
      </c>
      <c r="Q71">
        <f>IF(Source!BI33=3,(IF(Source!BA33&lt;&gt;0,Source!S33/Source!BA33,Source!S33)+IF(Source!BB33&lt;&gt;0,Source!Q33/Source!BB33,Source!Q33)+IF(Source!BC33&lt;&gt;0,Source!P33/Source!BC33,Source!P33)+((Source!AT33/100)*((Source!S33/IF(Source!BA33&lt;&gt;0,Source!BA33,1))+(Source!R33/IF(Source!BS33&lt;&gt;0,Source!BS33,1))))+((Source!AU33/100)*((Source!S33/IF(Source!BA33&lt;&gt;0,Source!BA33,1))+(Source!R33/IF(Source!BS33&lt;&gt;0,Source!BS33,1))))),0)</f>
        <v>0</v>
      </c>
      <c r="R71">
        <f>IF(Source!BI33=4,(IF(Source!BA33&lt;&gt;0,Source!S33/Source!BA33,Source!S33)+IF(Source!BB33&lt;&gt;0,Source!Q33/Source!BB33,Source!Q33)+IF(Source!BC33&lt;&gt;0,Source!P33/Source!BC33,Source!P33)+((Source!AT33/100)*((Source!S33/IF(Source!BA33&lt;&gt;0,Source!BA33,1))+(Source!R33/IF(Source!BS33&lt;&gt;0,Source!BS33,1))))+((Source!AU33/100)*((Source!S33/IF(Source!BA33&lt;&gt;0,Source!BA33,1))+(Source!R33/IF(Source!BS33&lt;&gt;0,Source!BS33,1))))),0)</f>
        <v>2118.15</v>
      </c>
      <c r="S71">
        <f>IF(Source!BI33=1,Source!O33+Source!X33+Source!Y33,0)</f>
        <v>0</v>
      </c>
      <c r="T71">
        <f>IF(Source!BI33=2,Source!O33+Source!X33+Source!Y33,0)</f>
        <v>0</v>
      </c>
      <c r="U71">
        <f>IF(Source!BI33=3,Source!O33+Source!X33+Source!Y33,0)</f>
        <v>0</v>
      </c>
      <c r="V71">
        <f>IF(Source!BI33=4,Source!O33+Source!X33+Source!Y33,0)</f>
        <v>2118.15</v>
      </c>
      <c r="W71">
        <f>IF(Source!BS33&lt;&gt;0,Source!R33/Source!BS33,Source!R33)</f>
        <v>0</v>
      </c>
    </row>
    <row r="73" spans="3:23" s="29" customFormat="1" ht="15.75">
      <c r="C73" s="29" t="s">
        <v>506</v>
      </c>
      <c r="G73" s="58">
        <f>SUM(M29:M72)</f>
        <v>10139.538260099693</v>
      </c>
      <c r="H73" s="58"/>
      <c r="J73" s="58">
        <f>ROUND(Source!AB26+Source!AK26+Source!AL26+Source!AE26*0/100,2)</f>
        <v>53893.13</v>
      </c>
      <c r="K73" s="58"/>
      <c r="L73" s="29">
        <f>Source!AH26</f>
        <v>80.92</v>
      </c>
      <c r="N73" s="28">
        <f aca="true" t="shared" si="0" ref="N73:W73">SUM(N29:N72)</f>
        <v>673.1197674418605</v>
      </c>
      <c r="O73" s="28">
        <f t="shared" si="0"/>
        <v>8021.388260099693</v>
      </c>
      <c r="P73" s="28">
        <f t="shared" si="0"/>
        <v>0</v>
      </c>
      <c r="Q73" s="28">
        <f t="shared" si="0"/>
        <v>0</v>
      </c>
      <c r="R73" s="28">
        <f t="shared" si="0"/>
        <v>2118.15</v>
      </c>
      <c r="S73" s="28">
        <f t="shared" si="0"/>
        <v>51774.979999999996</v>
      </c>
      <c r="T73" s="28">
        <f t="shared" si="0"/>
        <v>0</v>
      </c>
      <c r="U73" s="28">
        <f t="shared" si="0"/>
        <v>0</v>
      </c>
      <c r="V73" s="28">
        <f t="shared" si="0"/>
        <v>2118.15</v>
      </c>
      <c r="W73" s="29">
        <f t="shared" si="0"/>
        <v>347.69069767441863</v>
      </c>
    </row>
    <row r="76" spans="3:11" ht="18">
      <c r="C76" s="32" t="s">
        <v>507</v>
      </c>
      <c r="D76" s="59" t="str">
        <f>Source!G35</f>
        <v>Подготовительные работы</v>
      </c>
      <c r="E76" s="59"/>
      <c r="F76" s="59"/>
      <c r="G76" s="59"/>
      <c r="H76" s="59"/>
      <c r="I76" s="59"/>
      <c r="J76" s="59"/>
      <c r="K76" s="59"/>
    </row>
    <row r="77" spans="3:12" ht="18">
      <c r="C77" s="60" t="str">
        <f>Source!H51</f>
        <v>ИТОГО</v>
      </c>
      <c r="D77" s="60"/>
      <c r="E77" s="60"/>
      <c r="F77" s="60"/>
      <c r="G77" s="60"/>
      <c r="H77" s="60"/>
      <c r="I77" s="60"/>
      <c r="J77" s="61">
        <f>Source!F51</f>
        <v>53893.13</v>
      </c>
      <c r="K77" s="62"/>
      <c r="L77" s="31"/>
    </row>
    <row r="78" spans="3:12" ht="18">
      <c r="C78" s="60" t="str">
        <f>Source!H54</f>
        <v>ЗИМНЕЕ УДОРОЖАНИЕ %</v>
      </c>
      <c r="D78" s="60"/>
      <c r="E78" s="60"/>
      <c r="F78" s="60"/>
      <c r="G78" s="60"/>
      <c r="H78" s="60"/>
      <c r="I78" s="60"/>
      <c r="J78" s="61">
        <f>Source!F54</f>
        <v>1.2</v>
      </c>
      <c r="K78" s="62"/>
      <c r="L78" s="31"/>
    </row>
    <row r="79" spans="3:12" ht="18">
      <c r="C79" s="60" t="str">
        <f>Source!H55</f>
        <v>С ЗИМНИМ УДОРОЖАНИЕМ</v>
      </c>
      <c r="D79" s="60"/>
      <c r="E79" s="60"/>
      <c r="F79" s="60"/>
      <c r="G79" s="60"/>
      <c r="H79" s="60"/>
      <c r="I79" s="60"/>
      <c r="J79" s="61">
        <f>Source!F55</f>
        <v>54539.85</v>
      </c>
      <c r="K79" s="62"/>
      <c r="L79" s="31"/>
    </row>
    <row r="80" spans="3:12" ht="18">
      <c r="C80" s="60" t="str">
        <f>Source!H58</f>
        <v>НДС 18%</v>
      </c>
      <c r="D80" s="60"/>
      <c r="E80" s="60"/>
      <c r="F80" s="60"/>
      <c r="G80" s="60"/>
      <c r="H80" s="60"/>
      <c r="I80" s="60"/>
      <c r="J80" s="61">
        <f>Source!F58</f>
        <v>9817.17</v>
      </c>
      <c r="K80" s="62"/>
      <c r="L80" s="31"/>
    </row>
    <row r="81" spans="3:12" ht="18">
      <c r="C81" s="60" t="str">
        <f>Source!H59</f>
        <v>ВСЕГО</v>
      </c>
      <c r="D81" s="60"/>
      <c r="E81" s="60"/>
      <c r="F81" s="60"/>
      <c r="G81" s="60"/>
      <c r="H81" s="60"/>
      <c r="I81" s="60"/>
      <c r="J81" s="61">
        <f>Source!F59</f>
        <v>64357</v>
      </c>
      <c r="K81" s="62"/>
      <c r="L81" s="31"/>
    </row>
    <row r="82" spans="3:11" ht="18">
      <c r="C82" s="17" t="s">
        <v>497</v>
      </c>
      <c r="D82" s="59" t="str">
        <f>IF(Source!C12="1",Source!F61,Source!G61)</f>
        <v>Устройство основания</v>
      </c>
      <c r="E82" s="44"/>
      <c r="F82" s="44"/>
      <c r="G82" s="44"/>
      <c r="H82" s="44"/>
      <c r="I82" s="44"/>
      <c r="J82" s="44"/>
      <c r="K82" s="44"/>
    </row>
    <row r="84" spans="1:12" ht="30">
      <c r="A84" s="18" t="str">
        <f>Source!E65</f>
        <v>1</v>
      </c>
      <c r="B84" s="18" t="str">
        <f>Source!F65</f>
        <v>08-01-002-1</v>
      </c>
      <c r="C84" s="19" t="str">
        <f>Source!G65</f>
        <v>Устройство основания под фундаменты песчаного</v>
      </c>
      <c r="D84" s="20" t="str">
        <f>Source!H65</f>
        <v>1 м3</v>
      </c>
      <c r="E84" s="8">
        <f>ROUND(Source!I65,6)</f>
        <v>625</v>
      </c>
      <c r="F84" s="8">
        <f>IF(Source!AK65&lt;&gt;0,Source!AK65,Source!AL65+Source!AM65+Source!AO65)</f>
        <v>96.68</v>
      </c>
      <c r="G84" s="8"/>
      <c r="H84" s="8"/>
      <c r="I84" s="8"/>
      <c r="J84" s="8"/>
      <c r="K84" s="8"/>
      <c r="L84" s="8"/>
    </row>
    <row r="85" spans="1:12" ht="15">
      <c r="A85" s="6"/>
      <c r="B85" s="6"/>
      <c r="C85" s="6" t="s">
        <v>498</v>
      </c>
      <c r="D85" s="6"/>
      <c r="E85" s="6"/>
      <c r="F85" s="6">
        <f>Source!AO65</f>
        <v>7.02</v>
      </c>
      <c r="G85" s="21">
        <f>Source!DG65</f>
      </c>
      <c r="H85" s="22">
        <f>IF(Source!BA65&lt;&gt;0,Source!S65/Source!BA65,Source!S65)</f>
        <v>4387.5</v>
      </c>
      <c r="I85" s="6" t="str">
        <f>IF(Source!BO65&lt;&gt;"",Source!BO65,"")</f>
        <v>08-01-002-1</v>
      </c>
      <c r="J85" s="6">
        <f>Source!BA65</f>
        <v>8.6</v>
      </c>
      <c r="K85" s="22">
        <f>Source!S65</f>
        <v>37732.5</v>
      </c>
      <c r="L85" s="6"/>
    </row>
    <row r="86" spans="1:12" ht="15">
      <c r="A86" s="6"/>
      <c r="B86" s="6"/>
      <c r="C86" s="6" t="s">
        <v>65</v>
      </c>
      <c r="D86" s="6"/>
      <c r="E86" s="6"/>
      <c r="F86" s="6">
        <f>Source!AM65</f>
        <v>23.06</v>
      </c>
      <c r="G86" s="21">
        <f>Source!DE65</f>
      </c>
      <c r="H86" s="22">
        <f>IF(Source!BB65&lt;&gt;0,Source!Q65/Source!BB65,Source!Q65)</f>
        <v>14412.5</v>
      </c>
      <c r="I86" s="6"/>
      <c r="J86" s="6">
        <f>Source!BB65</f>
        <v>4.24</v>
      </c>
      <c r="K86" s="22">
        <f>Source!Q65</f>
        <v>61109</v>
      </c>
      <c r="L86" s="6"/>
    </row>
    <row r="87" spans="1:12" ht="15">
      <c r="A87" s="6"/>
      <c r="B87" s="6"/>
      <c r="C87" s="6" t="s">
        <v>499</v>
      </c>
      <c r="D87" s="6"/>
      <c r="E87" s="6"/>
      <c r="F87" s="6">
        <f>Source!AN65</f>
        <v>2.11</v>
      </c>
      <c r="G87" s="21">
        <f>Source!DF65</f>
      </c>
      <c r="H87" s="24">
        <f>IF(Source!BS65&lt;&gt;0,Source!R65/Source!BS65,Source!R65)</f>
        <v>1318.75</v>
      </c>
      <c r="I87" s="6"/>
      <c r="J87" s="6">
        <f>Source!BS65</f>
        <v>8.6</v>
      </c>
      <c r="K87" s="9">
        <f>Source!R65</f>
        <v>11341.25</v>
      </c>
      <c r="L87" s="6"/>
    </row>
    <row r="88" spans="1:12" ht="15">
      <c r="A88" s="6"/>
      <c r="B88" s="6"/>
      <c r="C88" s="6" t="s">
        <v>505</v>
      </c>
      <c r="D88" s="6"/>
      <c r="E88" s="6"/>
      <c r="F88" s="6">
        <f>Source!AL65</f>
        <v>66.6</v>
      </c>
      <c r="G88" s="21">
        <f>Source!DD65</f>
      </c>
      <c r="H88" s="22">
        <f>IF(Source!BC65&lt;&gt;0,Source!P65/Source!BC65,Source!P65)</f>
        <v>41625</v>
      </c>
      <c r="I88" s="6"/>
      <c r="J88" s="6">
        <f>Source!BC65</f>
        <v>5.86</v>
      </c>
      <c r="K88" s="22">
        <f>Source!P65</f>
        <v>243922.5</v>
      </c>
      <c r="L88" s="6"/>
    </row>
    <row r="89" spans="1:12" ht="15">
      <c r="A89" s="6"/>
      <c r="B89" s="6"/>
      <c r="C89" s="6" t="s">
        <v>500</v>
      </c>
      <c r="D89" s="9" t="s">
        <v>501</v>
      </c>
      <c r="E89" s="6"/>
      <c r="F89" s="6">
        <f>Source!AT65</f>
        <v>114.68</v>
      </c>
      <c r="G89" s="6"/>
      <c r="H89" s="22">
        <f>(F89/100)*((Source!S65/IF(Source!BA65&lt;&gt;0,Source!BA65,1))+(Source!R65/IF(Source!BS65&lt;&gt;0,Source!BS65,1)))</f>
        <v>6543.927500000001</v>
      </c>
      <c r="I89" s="6"/>
      <c r="J89" s="6">
        <f>Source!AT65</f>
        <v>114.68</v>
      </c>
      <c r="K89" s="22">
        <f>Source!X65</f>
        <v>56277.78</v>
      </c>
      <c r="L89" s="6"/>
    </row>
    <row r="90" spans="1:12" ht="15">
      <c r="A90" s="6"/>
      <c r="B90" s="6"/>
      <c r="C90" s="6" t="s">
        <v>502</v>
      </c>
      <c r="D90" s="9" t="s">
        <v>501</v>
      </c>
      <c r="E90" s="6"/>
      <c r="F90" s="6">
        <f>Source!AU65</f>
        <v>80</v>
      </c>
      <c r="G90" s="6"/>
      <c r="H90" s="22">
        <f>(F90/100)*((Source!S65/IF(Source!BA65&lt;&gt;0,Source!BA65,1))+(Source!R65/IF(Source!BS65&lt;&gt;0,Source!BS65,1)))</f>
        <v>4565</v>
      </c>
      <c r="I90" s="6"/>
      <c r="J90" s="6">
        <f>Source!AU65</f>
        <v>80</v>
      </c>
      <c r="K90" s="22">
        <f>Source!Y65</f>
        <v>39259</v>
      </c>
      <c r="L90" s="6"/>
    </row>
    <row r="91" spans="1:12" ht="15">
      <c r="A91" s="25"/>
      <c r="B91" s="25"/>
      <c r="C91" s="25" t="s">
        <v>503</v>
      </c>
      <c r="D91" s="26" t="s">
        <v>504</v>
      </c>
      <c r="E91" s="25">
        <f>Source!AQ65</f>
        <v>0.9</v>
      </c>
      <c r="F91" s="25"/>
      <c r="G91" s="27">
        <f>Source!DI65</f>
      </c>
      <c r="H91" s="25"/>
      <c r="I91" s="25"/>
      <c r="J91" s="25"/>
      <c r="K91" s="25"/>
      <c r="L91" s="25">
        <f>Source!U65</f>
        <v>562.5</v>
      </c>
    </row>
    <row r="92" spans="1:23" ht="15.75">
      <c r="A92" s="6"/>
      <c r="B92" s="6"/>
      <c r="C92" s="6"/>
      <c r="D92" s="6"/>
      <c r="E92" s="6"/>
      <c r="F92" s="6"/>
      <c r="G92" s="6"/>
      <c r="H92" s="28">
        <f>IF(Source!BA65&lt;&gt;0,Source!S65/Source!BA65,Source!S65)+IF(Source!BB65&lt;&gt;0,Source!Q65/Source!BB65,Source!Q65)+H88+H89+H90</f>
        <v>71533.9275</v>
      </c>
      <c r="I92" s="29"/>
      <c r="J92" s="29"/>
      <c r="K92" s="28">
        <f>Source!S65+Source!Q65+K88+K89+K90</f>
        <v>438300.78</v>
      </c>
      <c r="L92" s="29">
        <f>Source!U65</f>
        <v>562.5</v>
      </c>
      <c r="M92" s="23">
        <f>H92</f>
        <v>71533.9275</v>
      </c>
      <c r="N92">
        <f>IF(Source!BA65&lt;&gt;0,Source!S65/Source!BA65,Source!S65)</f>
        <v>4387.5</v>
      </c>
      <c r="O92">
        <f>IF(Source!BI65=1,(IF(Source!BA65&lt;&gt;0,Source!S65/Source!BA65,Source!S65)+IF(Source!BB65&lt;&gt;0,Source!Q65/Source!BB65,Source!Q65)+IF(Source!BC65&lt;&gt;0,Source!P65/Source!BC65,Source!P65)+((Source!AT65/100)*((Source!S65/IF(Source!BA65&lt;&gt;0,Source!BA65,1))+(Source!R65/IF(Source!BS65&lt;&gt;0,Source!BS65,1))))+((Source!AU65/100)*((Source!S65/IF(Source!BA65&lt;&gt;0,Source!BA65,1))+(Source!R65/IF(Source!BS65&lt;&gt;0,Source!BS65,1))))),0)</f>
        <v>71533.9275</v>
      </c>
      <c r="P92">
        <f>IF(Source!BI65=2,(IF(Source!BA65&lt;&gt;0,Source!S65/Source!BA65,Source!S65)+IF(Source!BB65&lt;&gt;0,Source!Q65/Source!BB65,Source!Q65)+IF(Source!BC65&lt;&gt;0,Source!P65/Source!BC65,Source!P65)+((Source!AT65/100)*((Source!S65/IF(Source!BA65&lt;&gt;0,Source!BA65,1))+(Source!R65/IF(Source!BS65&lt;&gt;0,Source!BS65,1))))+((Source!AU65/100)*((Source!S65/IF(Source!BA65&lt;&gt;0,Source!BA65,1))+(Source!R65/IF(Source!BS65&lt;&gt;0,Source!BS65,1))))),0)</f>
        <v>0</v>
      </c>
      <c r="Q92">
        <f>IF(Source!BI65=3,(IF(Source!BA65&lt;&gt;0,Source!S65/Source!BA65,Source!S65)+IF(Source!BB65&lt;&gt;0,Source!Q65/Source!BB65,Source!Q65)+IF(Source!BC65&lt;&gt;0,Source!P65/Source!BC65,Source!P65)+((Source!AT65/100)*((Source!S65/IF(Source!BA65&lt;&gt;0,Source!BA65,1))+(Source!R65/IF(Source!BS65&lt;&gt;0,Source!BS65,1))))+((Source!AU65/100)*((Source!S65/IF(Source!BA65&lt;&gt;0,Source!BA65,1))+(Source!R65/IF(Source!BS65&lt;&gt;0,Source!BS65,1))))),0)</f>
        <v>0</v>
      </c>
      <c r="R92">
        <f>IF(Source!BI65=4,(IF(Source!BA65&lt;&gt;0,Source!S65/Source!BA65,Source!S65)+IF(Source!BB65&lt;&gt;0,Source!Q65/Source!BB65,Source!Q65)+IF(Source!BC65&lt;&gt;0,Source!P65/Source!BC65,Source!P65)+((Source!AT65/100)*((Source!S65/IF(Source!BA65&lt;&gt;0,Source!BA65,1))+(Source!R65/IF(Source!BS65&lt;&gt;0,Source!BS65,1))))+((Source!AU65/100)*((Source!S65/IF(Source!BA65&lt;&gt;0,Source!BA65,1))+(Source!R65/IF(Source!BS65&lt;&gt;0,Source!BS65,1))))),0)</f>
        <v>0</v>
      </c>
      <c r="S92">
        <f>IF(Source!BI65=1,Source!O65+Source!X65+Source!Y65,0)</f>
        <v>438300.78</v>
      </c>
      <c r="T92">
        <f>IF(Source!BI65=2,Source!O65+Source!X65+Source!Y65,0)</f>
        <v>0</v>
      </c>
      <c r="U92">
        <f>IF(Source!BI65=3,Source!O65+Source!X65+Source!Y65,0)</f>
        <v>0</v>
      </c>
      <c r="V92">
        <f>IF(Source!BI65=4,Source!O65+Source!X65+Source!Y65,0)</f>
        <v>0</v>
      </c>
      <c r="W92">
        <f>IF(Source!BS65&lt;&gt;0,Source!R65/Source!BS65,Source!R65)</f>
        <v>1318.75</v>
      </c>
    </row>
    <row r="93" spans="1:12" ht="45">
      <c r="A93" s="18" t="str">
        <f>Source!E66</f>
        <v>2</v>
      </c>
      <c r="B93" s="18" t="str">
        <f>Source!F66</f>
        <v>27-12-010-2</v>
      </c>
      <c r="C93" s="19" t="str">
        <f>Source!G66</f>
        <v>Устройство дорог из сборных железобетонных плит площадью: более 3 м2</v>
      </c>
      <c r="D93" s="20" t="str">
        <f>Source!H66</f>
        <v>100 м3</v>
      </c>
      <c r="E93" s="8">
        <f>ROUND(Source!I66,6)</f>
        <v>1.323</v>
      </c>
      <c r="F93" s="8">
        <f>IF(Source!AK66&lt;&gt;0,Source!AK66,Source!AL66+Source!AM66+Source!AO66)</f>
        <v>98146.58</v>
      </c>
      <c r="G93" s="8"/>
      <c r="H93" s="8"/>
      <c r="I93" s="8"/>
      <c r="J93" s="8"/>
      <c r="K93" s="8"/>
      <c r="L93" s="8"/>
    </row>
    <row r="94" spans="1:12" ht="15">
      <c r="A94" s="6"/>
      <c r="B94" s="6"/>
      <c r="C94" s="6" t="s">
        <v>498</v>
      </c>
      <c r="D94" s="6"/>
      <c r="E94" s="6"/>
      <c r="F94" s="6">
        <f>Source!AO66</f>
        <v>429.31</v>
      </c>
      <c r="G94" s="21">
        <f>Source!DG66</f>
      </c>
      <c r="H94" s="22">
        <f>IF(Source!BA66&lt;&gt;0,Source!S66/Source!BA66,Source!S66)</f>
        <v>567.9767441860466</v>
      </c>
      <c r="I94" s="6" t="str">
        <f>IF(Source!BO66&lt;&gt;"",Source!BO66,"")</f>
        <v>27-12-010-2</v>
      </c>
      <c r="J94" s="6">
        <f>Source!BA66</f>
        <v>8.6</v>
      </c>
      <c r="K94" s="22">
        <f>Source!S66</f>
        <v>4884.6</v>
      </c>
      <c r="L94" s="6"/>
    </row>
    <row r="95" spans="1:12" ht="15">
      <c r="A95" s="6"/>
      <c r="B95" s="6"/>
      <c r="C95" s="6" t="s">
        <v>65</v>
      </c>
      <c r="D95" s="6"/>
      <c r="E95" s="6"/>
      <c r="F95" s="6">
        <f>Source!AM66</f>
        <v>1252.06</v>
      </c>
      <c r="G95" s="21">
        <f>Source!DE66</f>
      </c>
      <c r="H95" s="22">
        <f>IF(Source!BB66&lt;&gt;0,Source!Q66/Source!BB66,Source!Q66)</f>
        <v>1656.4742990654204</v>
      </c>
      <c r="I95" s="6"/>
      <c r="J95" s="6">
        <f>Source!BB66</f>
        <v>4.28</v>
      </c>
      <c r="K95" s="22">
        <f>Source!Q66</f>
        <v>7089.71</v>
      </c>
      <c r="L95" s="6"/>
    </row>
    <row r="96" spans="1:12" ht="15">
      <c r="A96" s="6"/>
      <c r="B96" s="6"/>
      <c r="C96" s="6" t="s">
        <v>499</v>
      </c>
      <c r="D96" s="6"/>
      <c r="E96" s="6"/>
      <c r="F96" s="6">
        <f>Source!AN66</f>
        <v>149.98</v>
      </c>
      <c r="G96" s="21">
        <f>Source!DF66</f>
      </c>
      <c r="H96" s="24">
        <f>IF(Source!BS66&lt;&gt;0,Source!R66/Source!BS66,Source!R66)</f>
        <v>198.4232558139535</v>
      </c>
      <c r="I96" s="6"/>
      <c r="J96" s="6">
        <f>Source!BS66</f>
        <v>8.6</v>
      </c>
      <c r="K96" s="9">
        <f>Source!R66</f>
        <v>1706.44</v>
      </c>
      <c r="L96" s="6"/>
    </row>
    <row r="97" spans="1:12" ht="15">
      <c r="A97" s="6"/>
      <c r="B97" s="6"/>
      <c r="C97" s="6" t="s">
        <v>505</v>
      </c>
      <c r="D97" s="6"/>
      <c r="E97" s="6"/>
      <c r="F97" s="6">
        <f>Source!AL66</f>
        <v>96465.21</v>
      </c>
      <c r="G97" s="21" t="str">
        <f>Source!DD66</f>
        <v>)*0,33</v>
      </c>
      <c r="H97" s="22">
        <f>IF(Source!BC66&lt;&gt;0,Source!P66/Source!BC66,Source!P66)</f>
        <v>42115.74655647383</v>
      </c>
      <c r="I97" s="6"/>
      <c r="J97" s="6">
        <f>Source!BC66</f>
        <v>7.26</v>
      </c>
      <c r="K97" s="22">
        <f>Source!P66</f>
        <v>305760.32</v>
      </c>
      <c r="L97" s="6"/>
    </row>
    <row r="98" spans="1:12" ht="15">
      <c r="A98" s="6"/>
      <c r="B98" s="6"/>
      <c r="C98" s="6" t="s">
        <v>500</v>
      </c>
      <c r="D98" s="9" t="s">
        <v>501</v>
      </c>
      <c r="E98" s="6"/>
      <c r="F98" s="6">
        <f>Source!AT66</f>
        <v>133.48</v>
      </c>
      <c r="G98" s="6"/>
      <c r="H98" s="22">
        <f>(F98/100)*((Source!S66/IF(Source!BA66&lt;&gt;0,Source!BA66,1))+(Source!R66/IF(Source!BS66&lt;&gt;0,Source!BS66,1)))</f>
        <v>1022.9907200000001</v>
      </c>
      <c r="I98" s="6"/>
      <c r="J98" s="6">
        <f>Source!AT66</f>
        <v>133.48</v>
      </c>
      <c r="K98" s="22">
        <f>Source!X66</f>
        <v>8797.72</v>
      </c>
      <c r="L98" s="6"/>
    </row>
    <row r="99" spans="1:12" ht="15">
      <c r="A99" s="6"/>
      <c r="B99" s="6"/>
      <c r="C99" s="6" t="s">
        <v>502</v>
      </c>
      <c r="D99" s="9" t="s">
        <v>501</v>
      </c>
      <c r="E99" s="6"/>
      <c r="F99" s="6">
        <f>Source!AU66</f>
        <v>95</v>
      </c>
      <c r="G99" s="6"/>
      <c r="H99" s="22">
        <f>(F99/100)*((Source!S66/IF(Source!BA66&lt;&gt;0,Source!BA66,1))+(Source!R66/IF(Source!BS66&lt;&gt;0,Source!BS66,1)))</f>
        <v>728.08</v>
      </c>
      <c r="I99" s="6"/>
      <c r="J99" s="6">
        <f>Source!AU66</f>
        <v>95</v>
      </c>
      <c r="K99" s="22">
        <f>Source!Y66</f>
        <v>6261.49</v>
      </c>
      <c r="L99" s="6"/>
    </row>
    <row r="100" spans="1:12" ht="15">
      <c r="A100" s="25"/>
      <c r="B100" s="25"/>
      <c r="C100" s="25" t="s">
        <v>503</v>
      </c>
      <c r="D100" s="26" t="s">
        <v>504</v>
      </c>
      <c r="E100" s="25">
        <f>Source!AQ66</f>
        <v>51.23</v>
      </c>
      <c r="F100" s="25"/>
      <c r="G100" s="27">
        <f>Source!DI66</f>
      </c>
      <c r="H100" s="25"/>
      <c r="I100" s="25"/>
      <c r="J100" s="25"/>
      <c r="K100" s="25"/>
      <c r="L100" s="25">
        <f>Source!U66</f>
        <v>67.78</v>
      </c>
    </row>
    <row r="101" spans="1:23" ht="15.75">
      <c r="A101" s="6"/>
      <c r="B101" s="6"/>
      <c r="C101" s="6"/>
      <c r="D101" s="6"/>
      <c r="E101" s="6"/>
      <c r="F101" s="6"/>
      <c r="G101" s="6"/>
      <c r="H101" s="28">
        <f>IF(Source!BA66&lt;&gt;0,Source!S66/Source!BA66,Source!S66)+IF(Source!BB66&lt;&gt;0,Source!Q66/Source!BB66,Source!Q66)+H97+H98+H99</f>
        <v>46091.2683197253</v>
      </c>
      <c r="I101" s="29"/>
      <c r="J101" s="29"/>
      <c r="K101" s="28">
        <f>Source!S66+Source!Q66+K97+K98+K99</f>
        <v>332793.83999999997</v>
      </c>
      <c r="L101" s="29">
        <f>Source!U66</f>
        <v>67.78</v>
      </c>
      <c r="M101" s="23">
        <f>H101</f>
        <v>46091.2683197253</v>
      </c>
      <c r="N101">
        <f>IF(Source!BA66&lt;&gt;0,Source!S66/Source!BA66,Source!S66)</f>
        <v>567.9767441860466</v>
      </c>
      <c r="O101">
        <f>IF(Source!BI66=1,(IF(Source!BA66&lt;&gt;0,Source!S66/Source!BA66,Source!S66)+IF(Source!BB66&lt;&gt;0,Source!Q66/Source!BB66,Source!Q66)+IF(Source!BC66&lt;&gt;0,Source!P66/Source!BC66,Source!P66)+((Source!AT66/100)*((Source!S66/IF(Source!BA66&lt;&gt;0,Source!BA66,1))+(Source!R66/IF(Source!BS66&lt;&gt;0,Source!BS66,1))))+((Source!AU66/100)*((Source!S66/IF(Source!BA66&lt;&gt;0,Source!BA66,1))+(Source!R66/IF(Source!BS66&lt;&gt;0,Source!BS66,1))))),0)</f>
        <v>46091.2683197253</v>
      </c>
      <c r="P101">
        <f>IF(Source!BI66=2,(IF(Source!BA66&lt;&gt;0,Source!S66/Source!BA66,Source!S66)+IF(Source!BB66&lt;&gt;0,Source!Q66/Source!BB66,Source!Q66)+IF(Source!BC66&lt;&gt;0,Source!P66/Source!BC66,Source!P66)+((Source!AT66/100)*((Source!S66/IF(Source!BA66&lt;&gt;0,Source!BA66,1))+(Source!R66/IF(Source!BS66&lt;&gt;0,Source!BS66,1))))+((Source!AU66/100)*((Source!S66/IF(Source!BA66&lt;&gt;0,Source!BA66,1))+(Source!R66/IF(Source!BS66&lt;&gt;0,Source!BS66,1))))),0)</f>
        <v>0</v>
      </c>
      <c r="Q101">
        <f>IF(Source!BI66=3,(IF(Source!BA66&lt;&gt;0,Source!S66/Source!BA66,Source!S66)+IF(Source!BB66&lt;&gt;0,Source!Q66/Source!BB66,Source!Q66)+IF(Source!BC66&lt;&gt;0,Source!P66/Source!BC66,Source!P66)+((Source!AT66/100)*((Source!S66/IF(Source!BA66&lt;&gt;0,Source!BA66,1))+(Source!R66/IF(Source!BS66&lt;&gt;0,Source!BS66,1))))+((Source!AU66/100)*((Source!S66/IF(Source!BA66&lt;&gt;0,Source!BA66,1))+(Source!R66/IF(Source!BS66&lt;&gt;0,Source!BS66,1))))),0)</f>
        <v>0</v>
      </c>
      <c r="R101">
        <f>IF(Source!BI66=4,(IF(Source!BA66&lt;&gt;0,Source!S66/Source!BA66,Source!S66)+IF(Source!BB66&lt;&gt;0,Source!Q66/Source!BB66,Source!Q66)+IF(Source!BC66&lt;&gt;0,Source!P66/Source!BC66,Source!P66)+((Source!AT66/100)*((Source!S66/IF(Source!BA66&lt;&gt;0,Source!BA66,1))+(Source!R66/IF(Source!BS66&lt;&gt;0,Source!BS66,1))))+((Source!AU66/100)*((Source!S66/IF(Source!BA66&lt;&gt;0,Source!BA66,1))+(Source!R66/IF(Source!BS66&lt;&gt;0,Source!BS66,1))))),0)</f>
        <v>0</v>
      </c>
      <c r="S101">
        <f>IF(Source!BI66=1,Source!O66+Source!X66+Source!Y66,0)</f>
        <v>332793.83999999997</v>
      </c>
      <c r="T101">
        <f>IF(Source!BI66=2,Source!O66+Source!X66+Source!Y66,0)</f>
        <v>0</v>
      </c>
      <c r="U101">
        <f>IF(Source!BI66=3,Source!O66+Source!X66+Source!Y66,0)</f>
        <v>0</v>
      </c>
      <c r="V101">
        <f>IF(Source!BI66=4,Source!O66+Source!X66+Source!Y66,0)</f>
        <v>0</v>
      </c>
      <c r="W101">
        <f>IF(Source!BS66&lt;&gt;0,Source!R66/Source!BS66,Source!R66)</f>
        <v>198.4232558139535</v>
      </c>
    </row>
    <row r="103" spans="3:23" s="29" customFormat="1" ht="15.75">
      <c r="C103" s="29" t="s">
        <v>506</v>
      </c>
      <c r="G103" s="58">
        <f>SUM(M84:M102)</f>
        <v>117625.19581972531</v>
      </c>
      <c r="H103" s="58"/>
      <c r="J103" s="58">
        <f>ROUND(Source!AB63+Source!AK63+Source!AL63+Source!AE63*0/100,2)</f>
        <v>771094.62</v>
      </c>
      <c r="K103" s="58"/>
      <c r="L103" s="29">
        <f>Source!AH63</f>
        <v>630.28</v>
      </c>
      <c r="N103" s="28">
        <f aca="true" t="shared" si="1" ref="N103:W103">SUM(N84:N102)</f>
        <v>4955.476744186047</v>
      </c>
      <c r="O103" s="28">
        <f t="shared" si="1"/>
        <v>117625.19581972531</v>
      </c>
      <c r="P103" s="28">
        <f t="shared" si="1"/>
        <v>0</v>
      </c>
      <c r="Q103" s="28">
        <f t="shared" si="1"/>
        <v>0</v>
      </c>
      <c r="R103" s="28">
        <f t="shared" si="1"/>
        <v>0</v>
      </c>
      <c r="S103" s="28">
        <f t="shared" si="1"/>
        <v>771094.62</v>
      </c>
      <c r="T103" s="28">
        <f t="shared" si="1"/>
        <v>0</v>
      </c>
      <c r="U103" s="28">
        <f t="shared" si="1"/>
        <v>0</v>
      </c>
      <c r="V103" s="28">
        <f t="shared" si="1"/>
        <v>0</v>
      </c>
      <c r="W103" s="29">
        <f t="shared" si="1"/>
        <v>1517.1732558139536</v>
      </c>
    </row>
    <row r="106" spans="3:11" ht="18">
      <c r="C106" s="32" t="s">
        <v>507</v>
      </c>
      <c r="D106" s="59" t="str">
        <f>Source!G68</f>
        <v>Устройство основания</v>
      </c>
      <c r="E106" s="59"/>
      <c r="F106" s="59"/>
      <c r="G106" s="59"/>
      <c r="H106" s="59"/>
      <c r="I106" s="59"/>
      <c r="J106" s="59"/>
      <c r="K106" s="59"/>
    </row>
    <row r="107" spans="3:12" ht="18">
      <c r="C107" s="60" t="str">
        <f>Source!H84</f>
        <v>ИТОГО</v>
      </c>
      <c r="D107" s="60"/>
      <c r="E107" s="60"/>
      <c r="F107" s="60"/>
      <c r="G107" s="60"/>
      <c r="H107" s="60"/>
      <c r="I107" s="60"/>
      <c r="J107" s="61">
        <f>Source!F84</f>
        <v>771094.62</v>
      </c>
      <c r="K107" s="62"/>
      <c r="L107" s="31"/>
    </row>
    <row r="108" spans="3:12" ht="18">
      <c r="C108" s="60" t="str">
        <f>Source!H87</f>
        <v>ЗИМНЕЕ УДОРОЖАНИЕ %</v>
      </c>
      <c r="D108" s="60"/>
      <c r="E108" s="60"/>
      <c r="F108" s="60"/>
      <c r="G108" s="60"/>
      <c r="H108" s="60"/>
      <c r="I108" s="60"/>
      <c r="J108" s="61">
        <f>Source!F87</f>
        <v>1.2</v>
      </c>
      <c r="K108" s="62"/>
      <c r="L108" s="31"/>
    </row>
    <row r="109" spans="3:12" ht="18">
      <c r="C109" s="60" t="str">
        <f>Source!H88</f>
        <v>С ЗИМНИМ УДОРОЖАНИЕМ</v>
      </c>
      <c r="D109" s="60"/>
      <c r="E109" s="60"/>
      <c r="F109" s="60"/>
      <c r="G109" s="60"/>
      <c r="H109" s="60"/>
      <c r="I109" s="60"/>
      <c r="J109" s="61">
        <f>Source!F88</f>
        <v>780347.76</v>
      </c>
      <c r="K109" s="62"/>
      <c r="L109" s="31"/>
    </row>
    <row r="110" spans="3:12" ht="18">
      <c r="C110" s="60" t="str">
        <f>Source!H91</f>
        <v>НДС 18%</v>
      </c>
      <c r="D110" s="60"/>
      <c r="E110" s="60"/>
      <c r="F110" s="60"/>
      <c r="G110" s="60"/>
      <c r="H110" s="60"/>
      <c r="I110" s="60"/>
      <c r="J110" s="61">
        <f>Source!F91</f>
        <v>140462.6</v>
      </c>
      <c r="K110" s="62"/>
      <c r="L110" s="31"/>
    </row>
    <row r="111" spans="3:12" ht="18">
      <c r="C111" s="60" t="str">
        <f>Source!H92</f>
        <v>ВСЕГО</v>
      </c>
      <c r="D111" s="60"/>
      <c r="E111" s="60"/>
      <c r="F111" s="60"/>
      <c r="G111" s="60"/>
      <c r="H111" s="60"/>
      <c r="I111" s="60"/>
      <c r="J111" s="61">
        <f>Source!F92</f>
        <v>920810.38</v>
      </c>
      <c r="K111" s="62"/>
      <c r="L111" s="31"/>
    </row>
    <row r="112" spans="3:11" ht="18">
      <c r="C112" s="17" t="s">
        <v>497</v>
      </c>
      <c r="D112" s="59" t="str">
        <f>IF(Source!C12="1",Source!F94,Source!G94)</f>
        <v>Устройство подкрановых путей</v>
      </c>
      <c r="E112" s="44"/>
      <c r="F112" s="44"/>
      <c r="G112" s="44"/>
      <c r="H112" s="44"/>
      <c r="I112" s="44"/>
      <c r="J112" s="44"/>
      <c r="K112" s="44"/>
    </row>
    <row r="114" spans="1:12" ht="105">
      <c r="A114" s="18" t="str">
        <f>Source!E98</f>
        <v>1</v>
      </c>
      <c r="B114" s="18" t="str">
        <f>Source!F98</f>
        <v>21-03-001-9</v>
      </c>
      <c r="C114" s="19" t="str">
        <f>Source!G98</f>
        <v>Устройство и разборка подкрановых путей для башенных кранов из инвентарных звеньев на деревянных полушпалах длиной 12,5м в две нити с рельсами типа Р50 шириной колеи до 6000мм на песчаном балласте</v>
      </c>
      <c r="D114" s="20" t="str">
        <f>Source!H98</f>
        <v>1 звено (12,5 м)</v>
      </c>
      <c r="E114" s="8">
        <f>ROUND(Source!I98,6)</f>
        <v>10</v>
      </c>
      <c r="F114" s="8">
        <f>IF(Source!AK98&lt;&gt;0,Source!AK98,Source!AL98+Source!AM98+Source!AO98)</f>
        <v>6043.43</v>
      </c>
      <c r="G114" s="8"/>
      <c r="H114" s="8"/>
      <c r="I114" s="8"/>
      <c r="J114" s="8"/>
      <c r="K114" s="8"/>
      <c r="L114" s="8"/>
    </row>
    <row r="115" spans="1:12" ht="15">
      <c r="A115" s="6"/>
      <c r="B115" s="6"/>
      <c r="C115" s="6" t="s">
        <v>498</v>
      </c>
      <c r="D115" s="6"/>
      <c r="E115" s="6"/>
      <c r="F115" s="6">
        <f>Source!AO98</f>
        <v>138.24</v>
      </c>
      <c r="G115" s="21">
        <f>Source!DG98</f>
      </c>
      <c r="H115" s="22">
        <f>IF(Source!BA98&lt;&gt;0,Source!S98/Source!BA98,Source!S98)</f>
        <v>1382.4</v>
      </c>
      <c r="I115" s="6" t="str">
        <f>IF(Source!BO98&lt;&gt;"",Source!BO98,"")</f>
        <v>21-03-001-9</v>
      </c>
      <c r="J115" s="6">
        <f>Source!BA98</f>
        <v>8.6</v>
      </c>
      <c r="K115" s="22">
        <f>Source!S98</f>
        <v>11888.64</v>
      </c>
      <c r="L115" s="6"/>
    </row>
    <row r="116" spans="1:12" ht="15">
      <c r="A116" s="6"/>
      <c r="B116" s="6"/>
      <c r="C116" s="6" t="s">
        <v>65</v>
      </c>
      <c r="D116" s="6"/>
      <c r="E116" s="6"/>
      <c r="F116" s="6">
        <f>Source!AM98</f>
        <v>970.91</v>
      </c>
      <c r="G116" s="21">
        <f>Source!DE98</f>
      </c>
      <c r="H116" s="22">
        <f>IF(Source!BB98&lt;&gt;0,Source!Q98/Source!BB98,Source!Q98)</f>
        <v>9709.099783080259</v>
      </c>
      <c r="I116" s="6"/>
      <c r="J116" s="6">
        <f>Source!BB98</f>
        <v>4.61</v>
      </c>
      <c r="K116" s="22">
        <f>Source!Q98</f>
        <v>44758.95</v>
      </c>
      <c r="L116" s="6"/>
    </row>
    <row r="117" spans="1:12" ht="15">
      <c r="A117" s="6"/>
      <c r="B117" s="6"/>
      <c r="C117" s="6" t="s">
        <v>499</v>
      </c>
      <c r="D117" s="6"/>
      <c r="E117" s="6"/>
      <c r="F117" s="6">
        <f>Source!AN98</f>
        <v>144.86</v>
      </c>
      <c r="G117" s="21">
        <f>Source!DF98</f>
      </c>
      <c r="H117" s="24">
        <f>IF(Source!BS98&lt;&gt;0,Source!R98/Source!BS98,Source!R98)</f>
        <v>1448.6</v>
      </c>
      <c r="I117" s="6"/>
      <c r="J117" s="6">
        <f>Source!BS98</f>
        <v>8.6</v>
      </c>
      <c r="K117" s="9">
        <f>Source!R98</f>
        <v>12457.96</v>
      </c>
      <c r="L117" s="6"/>
    </row>
    <row r="118" spans="1:12" ht="15">
      <c r="A118" s="6"/>
      <c r="B118" s="6"/>
      <c r="C118" s="6" t="s">
        <v>505</v>
      </c>
      <c r="D118" s="6"/>
      <c r="E118" s="6"/>
      <c r="F118" s="6">
        <f>Source!AL98</f>
        <v>4934.28</v>
      </c>
      <c r="G118" s="21">
        <f>Source!DD98</f>
      </c>
      <c r="H118" s="22">
        <f>IF(Source!BC98&lt;&gt;0,Source!P98/Source!BC98,Source!P98)</f>
        <v>49342.80047505938</v>
      </c>
      <c r="I118" s="6"/>
      <c r="J118" s="6">
        <f>Source!BC98</f>
        <v>4.21</v>
      </c>
      <c r="K118" s="22">
        <f>Source!P98</f>
        <v>207733.19</v>
      </c>
      <c r="L118" s="6"/>
    </row>
    <row r="119" spans="1:12" ht="15">
      <c r="A119" s="6"/>
      <c r="B119" s="6"/>
      <c r="C119" s="6" t="s">
        <v>500</v>
      </c>
      <c r="D119" s="9" t="s">
        <v>501</v>
      </c>
      <c r="E119" s="6"/>
      <c r="F119" s="6">
        <f>Source!AT98</f>
        <v>90.24</v>
      </c>
      <c r="G119" s="6"/>
      <c r="H119" s="22">
        <f>(F119/100)*((Source!S98/IF(Source!BA98&lt;&gt;0,Source!BA98,1))+(Source!R98/IF(Source!BS98&lt;&gt;0,Source!BS98,1)))</f>
        <v>2554.6944</v>
      </c>
      <c r="I119" s="6"/>
      <c r="J119" s="6">
        <f>Source!AT98</f>
        <v>90.24</v>
      </c>
      <c r="K119" s="22">
        <f>Source!X98</f>
        <v>21970.37</v>
      </c>
      <c r="L119" s="6"/>
    </row>
    <row r="120" spans="1:12" ht="15">
      <c r="A120" s="6"/>
      <c r="B120" s="6"/>
      <c r="C120" s="6" t="s">
        <v>502</v>
      </c>
      <c r="D120" s="9" t="s">
        <v>501</v>
      </c>
      <c r="E120" s="6"/>
      <c r="F120" s="6">
        <f>Source!AU98</f>
        <v>50</v>
      </c>
      <c r="G120" s="6"/>
      <c r="H120" s="22">
        <f>(F120/100)*((Source!S98/IF(Source!BA98&lt;&gt;0,Source!BA98,1))+(Source!R98/IF(Source!BS98&lt;&gt;0,Source!BS98,1)))</f>
        <v>1415.5</v>
      </c>
      <c r="I120" s="6"/>
      <c r="J120" s="6">
        <f>Source!AU98</f>
        <v>50</v>
      </c>
      <c r="K120" s="22">
        <f>Source!Y98</f>
        <v>12173.3</v>
      </c>
      <c r="L120" s="6"/>
    </row>
    <row r="121" spans="1:12" ht="15">
      <c r="A121" s="25"/>
      <c r="B121" s="25"/>
      <c r="C121" s="25" t="s">
        <v>503</v>
      </c>
      <c r="D121" s="26" t="s">
        <v>504</v>
      </c>
      <c r="E121" s="25">
        <f>Source!AQ98</f>
        <v>16.36</v>
      </c>
      <c r="F121" s="25"/>
      <c r="G121" s="27">
        <f>Source!DI98</f>
      </c>
      <c r="H121" s="25"/>
      <c r="I121" s="25"/>
      <c r="J121" s="25"/>
      <c r="K121" s="25"/>
      <c r="L121" s="25">
        <f>Source!U98</f>
        <v>163.6</v>
      </c>
    </row>
    <row r="122" spans="1:23" ht="15.75">
      <c r="A122" s="6"/>
      <c r="B122" s="6"/>
      <c r="C122" s="6"/>
      <c r="D122" s="6"/>
      <c r="E122" s="6"/>
      <c r="F122" s="6"/>
      <c r="G122" s="6"/>
      <c r="H122" s="28">
        <f>IF(Source!BA98&lt;&gt;0,Source!S98/Source!BA98,Source!S98)+IF(Source!BB98&lt;&gt;0,Source!Q98/Source!BB98,Source!Q98)+H118+H119+H120</f>
        <v>64404.49465813964</v>
      </c>
      <c r="I122" s="29"/>
      <c r="J122" s="29"/>
      <c r="K122" s="28">
        <f>Source!S98+Source!Q98+K118+K119+K120</f>
        <v>298524.45</v>
      </c>
      <c r="L122" s="29">
        <f>Source!U98</f>
        <v>163.6</v>
      </c>
      <c r="M122" s="23">
        <f>H122</f>
        <v>64404.49465813964</v>
      </c>
      <c r="N122">
        <f>IF(Source!BA98&lt;&gt;0,Source!S98/Source!BA98,Source!S98)</f>
        <v>1382.4</v>
      </c>
      <c r="O122">
        <f>IF(Source!BI98=1,(IF(Source!BA98&lt;&gt;0,Source!S98/Source!BA98,Source!S98)+IF(Source!BB98&lt;&gt;0,Source!Q98/Source!BB98,Source!Q98)+IF(Source!BC98&lt;&gt;0,Source!P98/Source!BC98,Source!P98)+((Source!AT98/100)*((Source!S98/IF(Source!BA98&lt;&gt;0,Source!BA98,1))+(Source!R98/IF(Source!BS98&lt;&gt;0,Source!BS98,1))))+((Source!AU98/100)*((Source!S98/IF(Source!BA98&lt;&gt;0,Source!BA98,1))+(Source!R98/IF(Source!BS98&lt;&gt;0,Source!BS98,1))))),0)</f>
        <v>64404.49465813964</v>
      </c>
      <c r="P122">
        <f>IF(Source!BI98=2,(IF(Source!BA98&lt;&gt;0,Source!S98/Source!BA98,Source!S98)+IF(Source!BB98&lt;&gt;0,Source!Q98/Source!BB98,Source!Q98)+IF(Source!BC98&lt;&gt;0,Source!P98/Source!BC98,Source!P98)+((Source!AT98/100)*((Source!S98/IF(Source!BA98&lt;&gt;0,Source!BA98,1))+(Source!R98/IF(Source!BS98&lt;&gt;0,Source!BS98,1))))+((Source!AU98/100)*((Source!S98/IF(Source!BA98&lt;&gt;0,Source!BA98,1))+(Source!R98/IF(Source!BS98&lt;&gt;0,Source!BS98,1))))),0)</f>
        <v>0</v>
      </c>
      <c r="Q122">
        <f>IF(Source!BI98=3,(IF(Source!BA98&lt;&gt;0,Source!S98/Source!BA98,Source!S98)+IF(Source!BB98&lt;&gt;0,Source!Q98/Source!BB98,Source!Q98)+IF(Source!BC98&lt;&gt;0,Source!P98/Source!BC98,Source!P98)+((Source!AT98/100)*((Source!S98/IF(Source!BA98&lt;&gt;0,Source!BA98,1))+(Source!R98/IF(Source!BS98&lt;&gt;0,Source!BS98,1))))+((Source!AU98/100)*((Source!S98/IF(Source!BA98&lt;&gt;0,Source!BA98,1))+(Source!R98/IF(Source!BS98&lt;&gt;0,Source!BS98,1))))),0)</f>
        <v>0</v>
      </c>
      <c r="R122">
        <f>IF(Source!BI98=4,(IF(Source!BA98&lt;&gt;0,Source!S98/Source!BA98,Source!S98)+IF(Source!BB98&lt;&gt;0,Source!Q98/Source!BB98,Source!Q98)+IF(Source!BC98&lt;&gt;0,Source!P98/Source!BC98,Source!P98)+((Source!AT98/100)*((Source!S98/IF(Source!BA98&lt;&gt;0,Source!BA98,1))+(Source!R98/IF(Source!BS98&lt;&gt;0,Source!BS98,1))))+((Source!AU98/100)*((Source!S98/IF(Source!BA98&lt;&gt;0,Source!BA98,1))+(Source!R98/IF(Source!BS98&lt;&gt;0,Source!BS98,1))))),0)</f>
        <v>0</v>
      </c>
      <c r="S122">
        <f>IF(Source!BI98=1,Source!O98+Source!X98+Source!Y98,0)</f>
        <v>298524.45</v>
      </c>
      <c r="T122">
        <f>IF(Source!BI98=2,Source!O98+Source!X98+Source!Y98,0)</f>
        <v>0</v>
      </c>
      <c r="U122">
        <f>IF(Source!BI98=3,Source!O98+Source!X98+Source!Y98,0)</f>
        <v>0</v>
      </c>
      <c r="V122">
        <f>IF(Source!BI98=4,Source!O98+Source!X98+Source!Y98,0)</f>
        <v>0</v>
      </c>
      <c r="W122">
        <f>IF(Source!BS98&lt;&gt;0,Source!R98/Source!BS98,Source!R98)</f>
        <v>1448.6</v>
      </c>
    </row>
    <row r="123" spans="1:12" ht="45">
      <c r="A123" s="18" t="str">
        <f>Source!E99</f>
        <v>2</v>
      </c>
      <c r="B123" s="18" t="str">
        <f>Source!F99</f>
        <v>21-03-003-3</v>
      </c>
      <c r="C123" s="19" t="str">
        <f>Source!G99</f>
        <v>Устройство выключающей линейки на подкрановых путях для башенных кранов весом до 25 кг</v>
      </c>
      <c r="D123" s="20" t="str">
        <f>Source!H99</f>
        <v>1 путь</v>
      </c>
      <c r="E123" s="8">
        <f>ROUND(Source!I99,6)</f>
        <v>2</v>
      </c>
      <c r="F123" s="8">
        <f>IF(Source!AK99&lt;&gt;0,Source!AK99,Source!AL99+Source!AM99+Source!AO99)</f>
        <v>151.05</v>
      </c>
      <c r="G123" s="8"/>
      <c r="H123" s="8"/>
      <c r="I123" s="8"/>
      <c r="J123" s="8"/>
      <c r="K123" s="8"/>
      <c r="L123" s="8"/>
    </row>
    <row r="124" spans="1:12" ht="15">
      <c r="A124" s="6"/>
      <c r="B124" s="6"/>
      <c r="C124" s="6" t="s">
        <v>498</v>
      </c>
      <c r="D124" s="6"/>
      <c r="E124" s="6"/>
      <c r="F124" s="6">
        <f>Source!AO99</f>
        <v>91.7</v>
      </c>
      <c r="G124" s="21">
        <f>Source!DG99</f>
      </c>
      <c r="H124" s="22">
        <f>IF(Source!BA99&lt;&gt;0,Source!S99/Source!BA99,Source!S99)</f>
        <v>183.4</v>
      </c>
      <c r="I124" s="6" t="str">
        <f>IF(Source!BO99&lt;&gt;"",Source!BO99,"")</f>
        <v>21-03-003-3</v>
      </c>
      <c r="J124" s="6">
        <f>Source!BA99</f>
        <v>8.6</v>
      </c>
      <c r="K124" s="22">
        <f>Source!S99</f>
        <v>1577.24</v>
      </c>
      <c r="L124" s="6"/>
    </row>
    <row r="125" spans="1:12" ht="15">
      <c r="A125" s="6"/>
      <c r="B125" s="6"/>
      <c r="C125" s="6" t="s">
        <v>65</v>
      </c>
      <c r="D125" s="6"/>
      <c r="E125" s="6"/>
      <c r="F125" s="6">
        <f>Source!AM99</f>
        <v>21.72</v>
      </c>
      <c r="G125" s="21">
        <f>Source!DE99</f>
      </c>
      <c r="H125" s="22">
        <f>IF(Source!BB99&lt;&gt;0,Source!Q99/Source!BB99,Source!Q99)</f>
        <v>43.43981481481481</v>
      </c>
      <c r="I125" s="6"/>
      <c r="J125" s="6">
        <f>Source!BB99</f>
        <v>4.32</v>
      </c>
      <c r="K125" s="22">
        <f>Source!Q99</f>
        <v>187.66</v>
      </c>
      <c r="L125" s="6"/>
    </row>
    <row r="126" spans="1:12" ht="15">
      <c r="A126" s="6"/>
      <c r="B126" s="6"/>
      <c r="C126" s="6" t="s">
        <v>499</v>
      </c>
      <c r="D126" s="6"/>
      <c r="E126" s="6"/>
      <c r="F126" s="6">
        <f>Source!AN99</f>
        <v>0.68</v>
      </c>
      <c r="G126" s="21">
        <f>Source!DF99</f>
      </c>
      <c r="H126" s="24">
        <f>IF(Source!BS99&lt;&gt;0,Source!R99/Source!BS99,Source!R99)</f>
        <v>1.3604651162790697</v>
      </c>
      <c r="I126" s="6"/>
      <c r="J126" s="6">
        <f>Source!BS99</f>
        <v>8.6</v>
      </c>
      <c r="K126" s="9">
        <f>Source!R99</f>
        <v>11.7</v>
      </c>
      <c r="L126" s="6"/>
    </row>
    <row r="127" spans="1:12" ht="15">
      <c r="A127" s="6"/>
      <c r="B127" s="6"/>
      <c r="C127" s="6" t="s">
        <v>505</v>
      </c>
      <c r="D127" s="6"/>
      <c r="E127" s="6"/>
      <c r="F127" s="6">
        <f>Source!AL99</f>
        <v>37.63</v>
      </c>
      <c r="G127" s="21">
        <f>Source!DD99</f>
      </c>
      <c r="H127" s="22">
        <f>IF(Source!BC99&lt;&gt;0,Source!P99/Source!BC99,Source!P99)</f>
        <v>75.2589928057554</v>
      </c>
      <c r="I127" s="6"/>
      <c r="J127" s="6">
        <f>Source!BC99</f>
        <v>2.78</v>
      </c>
      <c r="K127" s="22">
        <f>Source!P99</f>
        <v>209.22</v>
      </c>
      <c r="L127" s="6"/>
    </row>
    <row r="128" spans="1:12" ht="15">
      <c r="A128" s="6"/>
      <c r="B128" s="6"/>
      <c r="C128" s="6" t="s">
        <v>500</v>
      </c>
      <c r="D128" s="9" t="s">
        <v>501</v>
      </c>
      <c r="E128" s="6"/>
      <c r="F128" s="6">
        <f>Source!AT99</f>
        <v>90.24</v>
      </c>
      <c r="G128" s="6"/>
      <c r="H128" s="22">
        <f>(F128/100)*((Source!S99/IF(Source!BA99&lt;&gt;0,Source!BA99,1))+(Source!R99/IF(Source!BS99&lt;&gt;0,Source!BS99,1)))</f>
        <v>166.72784372093022</v>
      </c>
      <c r="I128" s="6"/>
      <c r="J128" s="6">
        <f>Source!AT99</f>
        <v>90.24</v>
      </c>
      <c r="K128" s="22">
        <f>Source!X99</f>
        <v>1433.86</v>
      </c>
      <c r="L128" s="6"/>
    </row>
    <row r="129" spans="1:12" ht="15">
      <c r="A129" s="6"/>
      <c r="B129" s="6"/>
      <c r="C129" s="6" t="s">
        <v>502</v>
      </c>
      <c r="D129" s="9" t="s">
        <v>501</v>
      </c>
      <c r="E129" s="6"/>
      <c r="F129" s="6">
        <f>Source!AU99</f>
        <v>50</v>
      </c>
      <c r="G129" s="6"/>
      <c r="H129" s="22">
        <f>(F129/100)*((Source!S99/IF(Source!BA99&lt;&gt;0,Source!BA99,1))+(Source!R99/IF(Source!BS99&lt;&gt;0,Source!BS99,1)))</f>
        <v>92.38023255813954</v>
      </c>
      <c r="I129" s="6"/>
      <c r="J129" s="6">
        <f>Source!AU99</f>
        <v>50</v>
      </c>
      <c r="K129" s="22">
        <f>Source!Y99</f>
        <v>794.47</v>
      </c>
      <c r="L129" s="6"/>
    </row>
    <row r="130" spans="1:12" ht="15">
      <c r="A130" s="6"/>
      <c r="B130" s="6"/>
      <c r="C130" s="6" t="s">
        <v>503</v>
      </c>
      <c r="D130" s="9" t="s">
        <v>504</v>
      </c>
      <c r="E130" s="6">
        <f>Source!AQ99</f>
        <v>9.86</v>
      </c>
      <c r="F130" s="6"/>
      <c r="G130" s="21">
        <f>Source!DI99</f>
      </c>
      <c r="H130" s="6"/>
      <c r="I130" s="6"/>
      <c r="J130" s="6"/>
      <c r="K130" s="6"/>
      <c r="L130" s="6">
        <f>Source!U99</f>
        <v>19.72</v>
      </c>
    </row>
    <row r="131" spans="1:23" ht="45">
      <c r="A131" s="33" t="str">
        <f>Source!E100</f>
        <v>2,1</v>
      </c>
      <c r="B131" s="33" t="str">
        <f>Source!F100</f>
        <v>201-0778</v>
      </c>
      <c r="C131" s="34" t="str">
        <f>Source!G100</f>
        <v>Прочие индивидуальные сварные конструкции, масса сборочной единицы до 0.1 т</v>
      </c>
      <c r="D131" s="35" t="str">
        <f>Source!H100</f>
        <v>т</v>
      </c>
      <c r="E131" s="36">
        <f>ROUND(Source!I100,6)</f>
        <v>0.05</v>
      </c>
      <c r="F131" s="36">
        <f>IF(Source!AL100=0,Source!AK100,Source!AL100)</f>
        <v>10508</v>
      </c>
      <c r="G131" s="37">
        <f>Source!DD100</f>
      </c>
      <c r="H131" s="38">
        <f>IF(Source!BC100&lt;&gt;0,Source!O100/Source!BC100,Source!O100)</f>
        <v>525.3992805755396</v>
      </c>
      <c r="I131" s="36"/>
      <c r="J131" s="36">
        <f>Source!BC100</f>
        <v>2.78</v>
      </c>
      <c r="K131" s="38">
        <f>Source!O100</f>
        <v>1460.61</v>
      </c>
      <c r="L131" s="36"/>
      <c r="N131">
        <f>IF(Source!BA100&lt;&gt;0,Source!S100/Source!BA100,Source!S100)</f>
        <v>0</v>
      </c>
      <c r="O131">
        <f>IF(Source!BI100=1,(IF(Source!BC100&lt;&gt;0,Source!O100/Source!BC100,Source!O100)),0)</f>
        <v>525.3992805755396</v>
      </c>
      <c r="P131">
        <f>IF(Source!BI100=2,(IF(Source!BC100&lt;&gt;0,Source!O100/Source!BC100,Source!O100)),0)</f>
        <v>0</v>
      </c>
      <c r="Q131">
        <f>IF(Source!BI100=3,(IF(Source!BC100&lt;&gt;0,Source!O100/Source!BC100,Source!O100)),0)</f>
        <v>0</v>
      </c>
      <c r="R131">
        <f>IF(Source!BI100=4,(IF(Source!BC100&lt;&gt;0,Source!O100/Source!BC100,Source!O100)),0)</f>
        <v>0</v>
      </c>
      <c r="S131">
        <f>IF(Source!BI100=1,Source!O100+Source!X100+Source!Y100,0)</f>
        <v>1460.61</v>
      </c>
      <c r="T131">
        <f>IF(Source!BI100=2,Source!O100+Source!X100+Source!Y100,0)</f>
        <v>0</v>
      </c>
      <c r="U131">
        <f>IF(Source!BI100=3,Source!O100+Source!X100+Source!Y100,0)</f>
        <v>0</v>
      </c>
      <c r="V131">
        <f>IF(Source!BI100=4,Source!O100+Source!X100+Source!Y100,0)</f>
        <v>0</v>
      </c>
      <c r="W131">
        <f>IF(Source!BS100&lt;&gt;0,Source!R100/Source!BS100,Source!R100)</f>
        <v>0</v>
      </c>
    </row>
    <row r="132" spans="1:23" ht="15.75">
      <c r="A132" s="6"/>
      <c r="B132" s="6"/>
      <c r="C132" s="6"/>
      <c r="D132" s="6"/>
      <c r="E132" s="6"/>
      <c r="F132" s="6"/>
      <c r="G132" s="6"/>
      <c r="H132" s="28">
        <f>IF(Source!BA99&lt;&gt;0,Source!S99/Source!BA99,Source!S99)+IF(Source!BB99&lt;&gt;0,Source!Q99/Source!BB99,Source!Q99)+H127+H128+H129+H131</f>
        <v>1086.6061644751794</v>
      </c>
      <c r="I132" s="29"/>
      <c r="J132" s="29"/>
      <c r="K132" s="28">
        <f>Source!S99+Source!Q99+K127+K128+K129+K131</f>
        <v>5663.0599999999995</v>
      </c>
      <c r="L132" s="29">
        <f>Source!U99</f>
        <v>19.72</v>
      </c>
      <c r="M132" s="23">
        <f>H132</f>
        <v>1086.6061644751794</v>
      </c>
      <c r="N132">
        <f>IF(Source!BA99&lt;&gt;0,Source!S99/Source!BA99,Source!S99)</f>
        <v>183.4</v>
      </c>
      <c r="O132">
        <f>IF(Source!BI99=1,(IF(Source!BA99&lt;&gt;0,Source!S99/Source!BA99,Source!S99)+IF(Source!BB99&lt;&gt;0,Source!Q99/Source!BB99,Source!Q99)+IF(Source!BC99&lt;&gt;0,Source!P99/Source!BC99,Source!P99)+((Source!AT99/100)*((Source!S99/IF(Source!BA99&lt;&gt;0,Source!BA99,1))+(Source!R99/IF(Source!BS99&lt;&gt;0,Source!BS99,1))))+((Source!AU99/100)*((Source!S99/IF(Source!BA99&lt;&gt;0,Source!BA99,1))+(Source!R99/IF(Source!BS99&lt;&gt;0,Source!BS99,1))))),0)</f>
        <v>561.2068838996399</v>
      </c>
      <c r="P132">
        <f>IF(Source!BI99=2,(IF(Source!BA99&lt;&gt;0,Source!S99/Source!BA99,Source!S99)+IF(Source!BB99&lt;&gt;0,Source!Q99/Source!BB99,Source!Q99)+IF(Source!BC99&lt;&gt;0,Source!P99/Source!BC99,Source!P99)+((Source!AT99/100)*((Source!S99/IF(Source!BA99&lt;&gt;0,Source!BA99,1))+(Source!R99/IF(Source!BS99&lt;&gt;0,Source!BS99,1))))+((Source!AU99/100)*((Source!S99/IF(Source!BA99&lt;&gt;0,Source!BA99,1))+(Source!R99/IF(Source!BS99&lt;&gt;0,Source!BS99,1))))),0)</f>
        <v>0</v>
      </c>
      <c r="Q132">
        <f>IF(Source!BI99=3,(IF(Source!BA99&lt;&gt;0,Source!S99/Source!BA99,Source!S99)+IF(Source!BB99&lt;&gt;0,Source!Q99/Source!BB99,Source!Q99)+IF(Source!BC99&lt;&gt;0,Source!P99/Source!BC99,Source!P99)+((Source!AT99/100)*((Source!S99/IF(Source!BA99&lt;&gt;0,Source!BA99,1))+(Source!R99/IF(Source!BS99&lt;&gt;0,Source!BS99,1))))+((Source!AU99/100)*((Source!S99/IF(Source!BA99&lt;&gt;0,Source!BA99,1))+(Source!R99/IF(Source!BS99&lt;&gt;0,Source!BS99,1))))),0)</f>
        <v>0</v>
      </c>
      <c r="R132">
        <f>IF(Source!BI99=4,(IF(Source!BA99&lt;&gt;0,Source!S99/Source!BA99,Source!S99)+IF(Source!BB99&lt;&gt;0,Source!Q99/Source!BB99,Source!Q99)+IF(Source!BC99&lt;&gt;0,Source!P99/Source!BC99,Source!P99)+((Source!AT99/100)*((Source!S99/IF(Source!BA99&lt;&gt;0,Source!BA99,1))+(Source!R99/IF(Source!BS99&lt;&gt;0,Source!BS99,1))))+((Source!AU99/100)*((Source!S99/IF(Source!BA99&lt;&gt;0,Source!BA99,1))+(Source!R99/IF(Source!BS99&lt;&gt;0,Source!BS99,1))))),0)</f>
        <v>0</v>
      </c>
      <c r="S132">
        <f>IF(Source!BI99=1,Source!O99+Source!X99+Source!Y99,0)</f>
        <v>4202.45</v>
      </c>
      <c r="T132">
        <f>IF(Source!BI99=2,Source!O99+Source!X99+Source!Y99,0)</f>
        <v>0</v>
      </c>
      <c r="U132">
        <f>IF(Source!BI99=3,Source!O99+Source!X99+Source!Y99,0)</f>
        <v>0</v>
      </c>
      <c r="V132">
        <f>IF(Source!BI99=4,Source!O99+Source!X99+Source!Y99,0)</f>
        <v>0</v>
      </c>
      <c r="W132">
        <f>IF(Source!BS99&lt;&gt;0,Source!R99/Source!BS99,Source!R99)</f>
        <v>1.3604651162790697</v>
      </c>
    </row>
    <row r="133" spans="1:12" ht="60">
      <c r="A133" s="18" t="str">
        <f>Source!E101</f>
        <v>3</v>
      </c>
      <c r="B133" s="18" t="str">
        <f>Source!F101</f>
        <v>21-03-004-1</v>
      </c>
      <c r="C133" s="19" t="str">
        <f>Source!G101</f>
        <v>Устройство и разборка кабельных лотков на подкрановых путях для башенных кранов с изготовлением лотков в построечных условиях</v>
      </c>
      <c r="D133" s="20" t="str">
        <f>Source!H101</f>
        <v>1 путь</v>
      </c>
      <c r="E133" s="8">
        <f>ROUND(Source!I101,6)</f>
        <v>2</v>
      </c>
      <c r="F133" s="8">
        <f>IF(Source!AK101&lt;&gt;0,Source!AK101,Source!AL101+Source!AM101+Source!AO101)</f>
        <v>452.2</v>
      </c>
      <c r="G133" s="8"/>
      <c r="H133" s="8"/>
      <c r="I133" s="8"/>
      <c r="J133" s="8"/>
      <c r="K133" s="8"/>
      <c r="L133" s="8"/>
    </row>
    <row r="134" spans="1:12" ht="15">
      <c r="A134" s="6"/>
      <c r="B134" s="6"/>
      <c r="C134" s="6" t="s">
        <v>498</v>
      </c>
      <c r="D134" s="6"/>
      <c r="E134" s="6"/>
      <c r="F134" s="6">
        <f>Source!AO101</f>
        <v>97.19</v>
      </c>
      <c r="G134" s="21">
        <f>Source!DG101</f>
      </c>
      <c r="H134" s="22">
        <f>IF(Source!BA101&lt;&gt;0,Source!S101/Source!BA101,Source!S101)</f>
        <v>194.38023255813954</v>
      </c>
      <c r="I134" s="6" t="str">
        <f>IF(Source!BO101&lt;&gt;"",Source!BO101,"")</f>
        <v>21-03-004-1</v>
      </c>
      <c r="J134" s="6">
        <f>Source!BA101</f>
        <v>8.6</v>
      </c>
      <c r="K134" s="22">
        <f>Source!S101</f>
        <v>1671.67</v>
      </c>
      <c r="L134" s="6"/>
    </row>
    <row r="135" spans="1:12" ht="15">
      <c r="A135" s="6"/>
      <c r="B135" s="6"/>
      <c r="C135" s="6" t="s">
        <v>65</v>
      </c>
      <c r="D135" s="6"/>
      <c r="E135" s="6"/>
      <c r="F135" s="6">
        <f>Source!AM101</f>
        <v>22.22</v>
      </c>
      <c r="G135" s="21">
        <f>Source!DE101</f>
      </c>
      <c r="H135" s="22">
        <f>IF(Source!BB101&lt;&gt;0,Source!Q101/Source!BB101,Source!Q101)</f>
        <v>44.44040404040404</v>
      </c>
      <c r="I135" s="6"/>
      <c r="J135" s="6">
        <f>Source!BB101</f>
        <v>4.95</v>
      </c>
      <c r="K135" s="22">
        <f>Source!Q101</f>
        <v>219.98</v>
      </c>
      <c r="L135" s="6"/>
    </row>
    <row r="136" spans="1:12" ht="15">
      <c r="A136" s="6"/>
      <c r="B136" s="6"/>
      <c r="C136" s="6" t="s">
        <v>499</v>
      </c>
      <c r="D136" s="6"/>
      <c r="E136" s="6"/>
      <c r="F136" s="6">
        <f>Source!AN101</f>
        <v>0.27</v>
      </c>
      <c r="G136" s="21">
        <f>Source!DF101</f>
      </c>
      <c r="H136" s="24">
        <f>IF(Source!BS101&lt;&gt;0,Source!R101/Source!BS101,Source!R101)</f>
        <v>0.5395348837209302</v>
      </c>
      <c r="I136" s="6"/>
      <c r="J136" s="6">
        <f>Source!BS101</f>
        <v>8.6</v>
      </c>
      <c r="K136" s="9">
        <f>Source!R101</f>
        <v>4.64</v>
      </c>
      <c r="L136" s="6"/>
    </row>
    <row r="137" spans="1:12" ht="15">
      <c r="A137" s="6"/>
      <c r="B137" s="6"/>
      <c r="C137" s="6" t="s">
        <v>505</v>
      </c>
      <c r="D137" s="6"/>
      <c r="E137" s="6"/>
      <c r="F137" s="6">
        <f>Source!AL101</f>
        <v>332.79</v>
      </c>
      <c r="G137" s="21">
        <f>Source!DD101</f>
      </c>
      <c r="H137" s="22">
        <f>IF(Source!BC101&lt;&gt;0,Source!P101/Source!BC101,Source!P101)</f>
        <v>665.5787401574803</v>
      </c>
      <c r="I137" s="6"/>
      <c r="J137" s="6">
        <f>Source!BC101</f>
        <v>2.54</v>
      </c>
      <c r="K137" s="22">
        <f>Source!P101</f>
        <v>1690.57</v>
      </c>
      <c r="L137" s="6"/>
    </row>
    <row r="138" spans="1:12" ht="15">
      <c r="A138" s="6"/>
      <c r="B138" s="6"/>
      <c r="C138" s="6" t="s">
        <v>500</v>
      </c>
      <c r="D138" s="9" t="s">
        <v>501</v>
      </c>
      <c r="E138" s="6"/>
      <c r="F138" s="6">
        <f>Source!AT101</f>
        <v>90.24</v>
      </c>
      <c r="G138" s="6"/>
      <c r="H138" s="22">
        <f>(F138/100)*((Source!S101/IF(Source!BA101&lt;&gt;0,Source!BA101,1))+(Source!R101/IF(Source!BS101&lt;&gt;0,Source!BS101,1)))</f>
        <v>175.89559813953488</v>
      </c>
      <c r="I138" s="6"/>
      <c r="J138" s="6">
        <f>Source!AT101</f>
        <v>90.24</v>
      </c>
      <c r="K138" s="22">
        <f>Source!X101</f>
        <v>1512.7</v>
      </c>
      <c r="L138" s="6"/>
    </row>
    <row r="139" spans="1:12" ht="15">
      <c r="A139" s="6"/>
      <c r="B139" s="6"/>
      <c r="C139" s="6" t="s">
        <v>502</v>
      </c>
      <c r="D139" s="9" t="s">
        <v>501</v>
      </c>
      <c r="E139" s="6"/>
      <c r="F139" s="6">
        <f>Source!AU101</f>
        <v>50</v>
      </c>
      <c r="G139" s="6"/>
      <c r="H139" s="22">
        <f>(F139/100)*((Source!S101/IF(Source!BA101&lt;&gt;0,Source!BA101,1))+(Source!R101/IF(Source!BS101&lt;&gt;0,Source!BS101,1)))</f>
        <v>97.45988372093024</v>
      </c>
      <c r="I139" s="6"/>
      <c r="J139" s="6">
        <f>Source!AU101</f>
        <v>50</v>
      </c>
      <c r="K139" s="22">
        <f>Source!Y101</f>
        <v>838.16</v>
      </c>
      <c r="L139" s="6"/>
    </row>
    <row r="140" spans="1:12" ht="15">
      <c r="A140" s="25"/>
      <c r="B140" s="25"/>
      <c r="C140" s="25" t="s">
        <v>503</v>
      </c>
      <c r="D140" s="26" t="s">
        <v>504</v>
      </c>
      <c r="E140" s="25">
        <f>Source!AQ101</f>
        <v>11.91</v>
      </c>
      <c r="F140" s="25"/>
      <c r="G140" s="27">
        <f>Source!DI101</f>
      </c>
      <c r="H140" s="25"/>
      <c r="I140" s="25"/>
      <c r="J140" s="25"/>
      <c r="K140" s="25"/>
      <c r="L140" s="25">
        <f>Source!U101</f>
        <v>23.82</v>
      </c>
    </row>
    <row r="141" spans="1:23" ht="15.75">
      <c r="A141" s="6"/>
      <c r="B141" s="6"/>
      <c r="C141" s="6"/>
      <c r="D141" s="6"/>
      <c r="E141" s="6"/>
      <c r="F141" s="6"/>
      <c r="G141" s="6"/>
      <c r="H141" s="28">
        <f>IF(Source!BA101&lt;&gt;0,Source!S101/Source!BA101,Source!S101)+IF(Source!BB101&lt;&gt;0,Source!Q101/Source!BB101,Source!Q101)+H137+H138+H139</f>
        <v>1177.7548586164892</v>
      </c>
      <c r="I141" s="29"/>
      <c r="J141" s="29"/>
      <c r="K141" s="28">
        <f>Source!S101+Source!Q101+K137+K138+K139</f>
        <v>5933.08</v>
      </c>
      <c r="L141" s="29">
        <f>Source!U101</f>
        <v>23.82</v>
      </c>
      <c r="M141" s="23">
        <f>H141</f>
        <v>1177.7548586164892</v>
      </c>
      <c r="N141">
        <f>IF(Source!BA101&lt;&gt;0,Source!S101/Source!BA101,Source!S101)</f>
        <v>194.38023255813954</v>
      </c>
      <c r="O141">
        <f>IF(Source!BI101=1,(IF(Source!BA101&lt;&gt;0,Source!S101/Source!BA101,Source!S101)+IF(Source!BB101&lt;&gt;0,Source!Q101/Source!BB101,Source!Q101)+IF(Source!BC101&lt;&gt;0,Source!P101/Source!BC101,Source!P101)+((Source!AT101/100)*((Source!S101/IF(Source!BA101&lt;&gt;0,Source!BA101,1))+(Source!R101/IF(Source!BS101&lt;&gt;0,Source!BS101,1))))+((Source!AU101/100)*((Source!S101/IF(Source!BA101&lt;&gt;0,Source!BA101,1))+(Source!R101/IF(Source!BS101&lt;&gt;0,Source!BS101,1))))),0)</f>
        <v>1177.7548586164892</v>
      </c>
      <c r="P141">
        <f>IF(Source!BI101=2,(IF(Source!BA101&lt;&gt;0,Source!S101/Source!BA101,Source!S101)+IF(Source!BB101&lt;&gt;0,Source!Q101/Source!BB101,Source!Q101)+IF(Source!BC101&lt;&gt;0,Source!P101/Source!BC101,Source!P101)+((Source!AT101/100)*((Source!S101/IF(Source!BA101&lt;&gt;0,Source!BA101,1))+(Source!R101/IF(Source!BS101&lt;&gt;0,Source!BS101,1))))+((Source!AU101/100)*((Source!S101/IF(Source!BA101&lt;&gt;0,Source!BA101,1))+(Source!R101/IF(Source!BS101&lt;&gt;0,Source!BS101,1))))),0)</f>
        <v>0</v>
      </c>
      <c r="Q141">
        <f>IF(Source!BI101=3,(IF(Source!BA101&lt;&gt;0,Source!S101/Source!BA101,Source!S101)+IF(Source!BB101&lt;&gt;0,Source!Q101/Source!BB101,Source!Q101)+IF(Source!BC101&lt;&gt;0,Source!P101/Source!BC101,Source!P101)+((Source!AT101/100)*((Source!S101/IF(Source!BA101&lt;&gt;0,Source!BA101,1))+(Source!R101/IF(Source!BS101&lt;&gt;0,Source!BS101,1))))+((Source!AU101/100)*((Source!S101/IF(Source!BA101&lt;&gt;0,Source!BA101,1))+(Source!R101/IF(Source!BS101&lt;&gt;0,Source!BS101,1))))),0)</f>
        <v>0</v>
      </c>
      <c r="R141">
        <f>IF(Source!BI101=4,(IF(Source!BA101&lt;&gt;0,Source!S101/Source!BA101,Source!S101)+IF(Source!BB101&lt;&gt;0,Source!Q101/Source!BB101,Source!Q101)+IF(Source!BC101&lt;&gt;0,Source!P101/Source!BC101,Source!P101)+((Source!AT101/100)*((Source!S101/IF(Source!BA101&lt;&gt;0,Source!BA101,1))+(Source!R101/IF(Source!BS101&lt;&gt;0,Source!BS101,1))))+((Source!AU101/100)*((Source!S101/IF(Source!BA101&lt;&gt;0,Source!BA101,1))+(Source!R101/IF(Source!BS101&lt;&gt;0,Source!BS101,1))))),0)</f>
        <v>0</v>
      </c>
      <c r="S141">
        <f>IF(Source!BI101=1,Source!O101+Source!X101+Source!Y101,0)</f>
        <v>5933.08</v>
      </c>
      <c r="T141">
        <f>IF(Source!BI101=2,Source!O101+Source!X101+Source!Y101,0)</f>
        <v>0</v>
      </c>
      <c r="U141">
        <f>IF(Source!BI101=3,Source!O101+Source!X101+Source!Y101,0)</f>
        <v>0</v>
      </c>
      <c r="V141">
        <f>IF(Source!BI101=4,Source!O101+Source!X101+Source!Y101,0)</f>
        <v>0</v>
      </c>
      <c r="W141">
        <f>IF(Source!BS101&lt;&gt;0,Source!R101/Source!BS101,Source!R101)</f>
        <v>0.5395348837209302</v>
      </c>
    </row>
    <row r="142" spans="1:12" ht="45">
      <c r="A142" s="18" t="str">
        <f>Source!E102</f>
        <v>4</v>
      </c>
      <c r="B142" s="18" t="str">
        <f>Source!F102</f>
        <v>21-03-005-1</v>
      </c>
      <c r="C142" s="19" t="str">
        <f>Source!G102</f>
        <v>Установка тупиковых упоров на подкрановых путях для башенных кранов</v>
      </c>
      <c r="D142" s="20" t="str">
        <f>Source!H102</f>
        <v>1 путь</v>
      </c>
      <c r="E142" s="8">
        <f>ROUND(Source!I102,6)</f>
        <v>2</v>
      </c>
      <c r="F142" s="8">
        <f>IF(Source!AK102&lt;&gt;0,Source!AK102,Source!AL102+Source!AM102+Source!AO102)</f>
        <v>27.13</v>
      </c>
      <c r="G142" s="8"/>
      <c r="H142" s="8"/>
      <c r="I142" s="8"/>
      <c r="J142" s="8"/>
      <c r="K142" s="8"/>
      <c r="L142" s="8"/>
    </row>
    <row r="143" spans="1:12" ht="15">
      <c r="A143" s="6"/>
      <c r="B143" s="6"/>
      <c r="C143" s="6" t="s">
        <v>498</v>
      </c>
      <c r="D143" s="6"/>
      <c r="E143" s="6"/>
      <c r="F143" s="6">
        <f>Source!AO102</f>
        <v>15.07</v>
      </c>
      <c r="G143" s="21">
        <f>Source!DG102</f>
      </c>
      <c r="H143" s="22">
        <f>IF(Source!BA102&lt;&gt;0,Source!S102/Source!BA102,Source!S102)</f>
        <v>30.13953488372093</v>
      </c>
      <c r="I143" s="6" t="str">
        <f>IF(Source!BO102&lt;&gt;"",Source!BO102,"")</f>
        <v>21-03-005-1</v>
      </c>
      <c r="J143" s="6">
        <f>Source!BA102</f>
        <v>8.6</v>
      </c>
      <c r="K143" s="22">
        <f>Source!S102</f>
        <v>259.2</v>
      </c>
      <c r="L143" s="6"/>
    </row>
    <row r="144" spans="1:12" ht="15">
      <c r="A144" s="6"/>
      <c r="B144" s="6"/>
      <c r="C144" s="6" t="s">
        <v>65</v>
      </c>
      <c r="D144" s="6"/>
      <c r="E144" s="6"/>
      <c r="F144" s="6">
        <f>Source!AM102</f>
        <v>12.06</v>
      </c>
      <c r="G144" s="21">
        <f>Source!DE102</f>
      </c>
      <c r="H144" s="22">
        <f>IF(Source!BB102&lt;&gt;0,Source!Q102/Source!BB102,Source!Q102)</f>
        <v>24.11904761904762</v>
      </c>
      <c r="I144" s="6"/>
      <c r="J144" s="6">
        <f>Source!BB102</f>
        <v>5.04</v>
      </c>
      <c r="K144" s="22">
        <f>Source!Q102</f>
        <v>121.56</v>
      </c>
      <c r="L144" s="6"/>
    </row>
    <row r="145" spans="1:12" ht="15">
      <c r="A145" s="6"/>
      <c r="B145" s="6"/>
      <c r="C145" s="6" t="s">
        <v>500</v>
      </c>
      <c r="D145" s="9" t="s">
        <v>501</v>
      </c>
      <c r="E145" s="6"/>
      <c r="F145" s="6">
        <f>Source!AT102</f>
        <v>90.24</v>
      </c>
      <c r="G145" s="6"/>
      <c r="H145" s="22">
        <f>(F145/100)*((Source!S102/IF(Source!BA102&lt;&gt;0,Source!BA102,1))+(Source!R102/IF(Source!BS102&lt;&gt;0,Source!BS102,1)))</f>
        <v>27.197916279069766</v>
      </c>
      <c r="I145" s="6"/>
      <c r="J145" s="6">
        <f>Source!AT102</f>
        <v>90.24</v>
      </c>
      <c r="K145" s="22">
        <f>Source!X102</f>
        <v>233.9</v>
      </c>
      <c r="L145" s="6"/>
    </row>
    <row r="146" spans="1:12" ht="15">
      <c r="A146" s="6"/>
      <c r="B146" s="6"/>
      <c r="C146" s="6" t="s">
        <v>502</v>
      </c>
      <c r="D146" s="9" t="s">
        <v>501</v>
      </c>
      <c r="E146" s="6"/>
      <c r="F146" s="6">
        <f>Source!AU102</f>
        <v>50</v>
      </c>
      <c r="G146" s="6"/>
      <c r="H146" s="22">
        <f>(F146/100)*((Source!S102/IF(Source!BA102&lt;&gt;0,Source!BA102,1))+(Source!R102/IF(Source!BS102&lt;&gt;0,Source!BS102,1)))</f>
        <v>15.069767441860465</v>
      </c>
      <c r="I146" s="6"/>
      <c r="J146" s="6">
        <f>Source!AU102</f>
        <v>50</v>
      </c>
      <c r="K146" s="22">
        <f>Source!Y102</f>
        <v>129.6</v>
      </c>
      <c r="L146" s="6"/>
    </row>
    <row r="147" spans="1:12" ht="15">
      <c r="A147" s="6"/>
      <c r="B147" s="6"/>
      <c r="C147" s="6" t="s">
        <v>503</v>
      </c>
      <c r="D147" s="9" t="s">
        <v>504</v>
      </c>
      <c r="E147" s="6">
        <f>Source!AQ102</f>
        <v>1.68</v>
      </c>
      <c r="F147" s="6"/>
      <c r="G147" s="21">
        <f>Source!DI102</f>
      </c>
      <c r="H147" s="6"/>
      <c r="I147" s="6"/>
      <c r="J147" s="6"/>
      <c r="K147" s="6"/>
      <c r="L147" s="6">
        <f>Source!U102</f>
        <v>3.36</v>
      </c>
    </row>
    <row r="148" spans="1:23" ht="15">
      <c r="A148" s="33" t="str">
        <f>Source!E103</f>
        <v>4,1</v>
      </c>
      <c r="B148" s="33" t="str">
        <f>Source!F103</f>
        <v>201-0630</v>
      </c>
      <c r="C148" s="34" t="str">
        <f>Source!G103</f>
        <v>Упоры тупиков</v>
      </c>
      <c r="D148" s="35" t="str">
        <f>Source!H103</f>
        <v>т</v>
      </c>
      <c r="E148" s="36">
        <f>ROUND(Source!I103,6)</f>
        <v>2.16</v>
      </c>
      <c r="F148" s="36">
        <f>IF(Source!AL103=0,Source!AK103,Source!AL103)</f>
        <v>6850</v>
      </c>
      <c r="G148" s="37">
        <f>Source!DD103</f>
      </c>
      <c r="H148" s="38">
        <f>IF(Source!BC103&lt;&gt;0,Source!O103/Source!BC103,Source!O103)</f>
        <v>14796</v>
      </c>
      <c r="I148" s="36"/>
      <c r="J148" s="36">
        <f>Source!BC103</f>
        <v>1</v>
      </c>
      <c r="K148" s="38">
        <f>Source!O103</f>
        <v>14796</v>
      </c>
      <c r="L148" s="36"/>
      <c r="N148">
        <f>IF(Source!BA103&lt;&gt;0,Source!S103/Source!BA103,Source!S103)</f>
        <v>0</v>
      </c>
      <c r="O148">
        <f>IF(Source!BI103=1,(IF(Source!BC103&lt;&gt;0,Source!O103/Source!BC103,Source!O103)),0)</f>
        <v>14796</v>
      </c>
      <c r="P148">
        <f>IF(Source!BI103=2,(IF(Source!BC103&lt;&gt;0,Source!O103/Source!BC103,Source!O103)),0)</f>
        <v>0</v>
      </c>
      <c r="Q148">
        <f>IF(Source!BI103=3,(IF(Source!BC103&lt;&gt;0,Source!O103/Source!BC103,Source!O103)),0)</f>
        <v>0</v>
      </c>
      <c r="R148">
        <f>IF(Source!BI103=4,(IF(Source!BC103&lt;&gt;0,Source!O103/Source!BC103,Source!O103)),0)</f>
        <v>0</v>
      </c>
      <c r="S148">
        <f>IF(Source!BI103=1,Source!O103+Source!X103+Source!Y103,0)</f>
        <v>14796</v>
      </c>
      <c r="T148">
        <f>IF(Source!BI103=2,Source!O103+Source!X103+Source!Y103,0)</f>
        <v>0</v>
      </c>
      <c r="U148">
        <f>IF(Source!BI103=3,Source!O103+Source!X103+Source!Y103,0)</f>
        <v>0</v>
      </c>
      <c r="V148">
        <f>IF(Source!BI103=4,Source!O103+Source!X103+Source!Y103,0)</f>
        <v>0</v>
      </c>
      <c r="W148">
        <f>IF(Source!BS103&lt;&gt;0,Source!R103/Source!BS103,Source!R103)</f>
        <v>0</v>
      </c>
    </row>
    <row r="149" spans="1:23" ht="15.75">
      <c r="A149" s="6"/>
      <c r="B149" s="6"/>
      <c r="C149" s="6"/>
      <c r="D149" s="6"/>
      <c r="E149" s="6"/>
      <c r="F149" s="6"/>
      <c r="G149" s="6"/>
      <c r="H149" s="28">
        <f>IF(Source!BA102&lt;&gt;0,Source!S102/Source!BA102,Source!S102)+IF(Source!BB102&lt;&gt;0,Source!Q102/Source!BB102,Source!Q102)+H145+H146+H148</f>
        <v>14892.526266223698</v>
      </c>
      <c r="I149" s="29"/>
      <c r="J149" s="29"/>
      <c r="K149" s="28">
        <f>Source!S102+Source!Q102+K145+K146+K148</f>
        <v>15540.26</v>
      </c>
      <c r="L149" s="29">
        <f>Source!U102</f>
        <v>3.36</v>
      </c>
      <c r="M149" s="23">
        <f>H149</f>
        <v>14892.526266223698</v>
      </c>
      <c r="N149">
        <f>IF(Source!BA102&lt;&gt;0,Source!S102/Source!BA102,Source!S102)</f>
        <v>30.13953488372093</v>
      </c>
      <c r="O149">
        <f>IF(Source!BI102=1,(IF(Source!BA102&lt;&gt;0,Source!S102/Source!BA102,Source!S102)+IF(Source!BB102&lt;&gt;0,Source!Q102/Source!BB102,Source!Q102)+IF(Source!BC102&lt;&gt;0,Source!P102/Source!BC102,Source!P102)+((Source!AT102/100)*((Source!S102/IF(Source!BA102&lt;&gt;0,Source!BA102,1))+(Source!R102/IF(Source!BS102&lt;&gt;0,Source!BS102,1))))+((Source!AU102/100)*((Source!S102/IF(Source!BA102&lt;&gt;0,Source!BA102,1))+(Source!R102/IF(Source!BS102&lt;&gt;0,Source!BS102,1))))),0)</f>
        <v>96.52626622369878</v>
      </c>
      <c r="P149">
        <f>IF(Source!BI102=2,(IF(Source!BA102&lt;&gt;0,Source!S102/Source!BA102,Source!S102)+IF(Source!BB102&lt;&gt;0,Source!Q102/Source!BB102,Source!Q102)+IF(Source!BC102&lt;&gt;0,Source!P102/Source!BC102,Source!P102)+((Source!AT102/100)*((Source!S102/IF(Source!BA102&lt;&gt;0,Source!BA102,1))+(Source!R102/IF(Source!BS102&lt;&gt;0,Source!BS102,1))))+((Source!AU102/100)*((Source!S102/IF(Source!BA102&lt;&gt;0,Source!BA102,1))+(Source!R102/IF(Source!BS102&lt;&gt;0,Source!BS102,1))))),0)</f>
        <v>0</v>
      </c>
      <c r="Q149">
        <f>IF(Source!BI102=3,(IF(Source!BA102&lt;&gt;0,Source!S102/Source!BA102,Source!S102)+IF(Source!BB102&lt;&gt;0,Source!Q102/Source!BB102,Source!Q102)+IF(Source!BC102&lt;&gt;0,Source!P102/Source!BC102,Source!P102)+((Source!AT102/100)*((Source!S102/IF(Source!BA102&lt;&gt;0,Source!BA102,1))+(Source!R102/IF(Source!BS102&lt;&gt;0,Source!BS102,1))))+((Source!AU102/100)*((Source!S102/IF(Source!BA102&lt;&gt;0,Source!BA102,1))+(Source!R102/IF(Source!BS102&lt;&gt;0,Source!BS102,1))))),0)</f>
        <v>0</v>
      </c>
      <c r="R149">
        <f>IF(Source!BI102=4,(IF(Source!BA102&lt;&gt;0,Source!S102/Source!BA102,Source!S102)+IF(Source!BB102&lt;&gt;0,Source!Q102/Source!BB102,Source!Q102)+IF(Source!BC102&lt;&gt;0,Source!P102/Source!BC102,Source!P102)+((Source!AT102/100)*((Source!S102/IF(Source!BA102&lt;&gt;0,Source!BA102,1))+(Source!R102/IF(Source!BS102&lt;&gt;0,Source!BS102,1))))+((Source!AU102/100)*((Source!S102/IF(Source!BA102&lt;&gt;0,Source!BA102,1))+(Source!R102/IF(Source!BS102&lt;&gt;0,Source!BS102,1))))),0)</f>
        <v>0</v>
      </c>
      <c r="S149">
        <f>IF(Source!BI102=1,Source!O102+Source!X102+Source!Y102,0)</f>
        <v>744.26</v>
      </c>
      <c r="T149">
        <f>IF(Source!BI102=2,Source!O102+Source!X102+Source!Y102,0)</f>
        <v>0</v>
      </c>
      <c r="U149">
        <f>IF(Source!BI102=3,Source!O102+Source!X102+Source!Y102,0)</f>
        <v>0</v>
      </c>
      <c r="V149">
        <f>IF(Source!BI102=4,Source!O102+Source!X102+Source!Y102,0)</f>
        <v>0</v>
      </c>
      <c r="W149">
        <f>IF(Source!BS102&lt;&gt;0,Source!R102/Source!BS102,Source!R102)</f>
        <v>0</v>
      </c>
    </row>
    <row r="150" spans="1:12" ht="45">
      <c r="A150" s="18" t="str">
        <f>Source!E104</f>
        <v>5</v>
      </c>
      <c r="B150" s="18" t="str">
        <f>Source!F104</f>
        <v>21-03-006-3</v>
      </c>
      <c r="C150" s="19" t="str">
        <f>Source!G104</f>
        <v>Испытание башенного крана перед сдачей в эксплуатацию грузоподъемностью до 10т</v>
      </c>
      <c r="D150" s="20" t="str">
        <f>Source!H104</f>
        <v>1 кран</v>
      </c>
      <c r="E150" s="8">
        <f>ROUND(Source!I104,6)</f>
        <v>2</v>
      </c>
      <c r="F150" s="8">
        <f>IF(Source!AK104&lt;&gt;0,Source!AK104,Source!AL104+Source!AM104+Source!AO104)</f>
        <v>1162.35</v>
      </c>
      <c r="G150" s="8"/>
      <c r="H150" s="8"/>
      <c r="I150" s="8"/>
      <c r="J150" s="8"/>
      <c r="K150" s="8"/>
      <c r="L150" s="8"/>
    </row>
    <row r="151" spans="1:12" ht="15">
      <c r="A151" s="6"/>
      <c r="B151" s="6"/>
      <c r="C151" s="6" t="s">
        <v>498</v>
      </c>
      <c r="D151" s="6"/>
      <c r="E151" s="6"/>
      <c r="F151" s="6">
        <f>Source!AO104</f>
        <v>424.94</v>
      </c>
      <c r="G151" s="21">
        <f>Source!DG104</f>
      </c>
      <c r="H151" s="22">
        <f>IF(Source!BA104&lt;&gt;0,Source!S104/Source!BA104,Source!S104)</f>
        <v>849.8802325581396</v>
      </c>
      <c r="I151" s="6" t="str">
        <f>IF(Source!BO104&lt;&gt;"",Source!BO104,"")</f>
        <v>21-03-006-3</v>
      </c>
      <c r="J151" s="6">
        <f>Source!BA104</f>
        <v>8.6</v>
      </c>
      <c r="K151" s="22">
        <f>Source!S104</f>
        <v>7308.97</v>
      </c>
      <c r="L151" s="6"/>
    </row>
    <row r="152" spans="1:12" ht="15">
      <c r="A152" s="6"/>
      <c r="B152" s="6"/>
      <c r="C152" s="6" t="s">
        <v>65</v>
      </c>
      <c r="D152" s="6"/>
      <c r="E152" s="6"/>
      <c r="F152" s="6">
        <f>Source!AM104</f>
        <v>726.4</v>
      </c>
      <c r="G152" s="21">
        <f>Source!DE104</f>
      </c>
      <c r="H152" s="22">
        <f>IF(Source!BB104&lt;&gt;0,Source!Q104/Source!BB104,Source!Q104)</f>
        <v>1452.7996219281665</v>
      </c>
      <c r="I152" s="6"/>
      <c r="J152" s="6">
        <f>Source!BB104</f>
        <v>5.29</v>
      </c>
      <c r="K152" s="22">
        <f>Source!Q104</f>
        <v>7685.31</v>
      </c>
      <c r="L152" s="6"/>
    </row>
    <row r="153" spans="1:12" ht="15">
      <c r="A153" s="6"/>
      <c r="B153" s="6"/>
      <c r="C153" s="6" t="s">
        <v>499</v>
      </c>
      <c r="D153" s="6"/>
      <c r="E153" s="6"/>
      <c r="F153" s="6">
        <f>Source!AN104</f>
        <v>108</v>
      </c>
      <c r="G153" s="21">
        <f>Source!DF104</f>
      </c>
      <c r="H153" s="24">
        <f>IF(Source!BS104&lt;&gt;0,Source!R104/Source!BS104,Source!R104)</f>
        <v>216</v>
      </c>
      <c r="I153" s="6"/>
      <c r="J153" s="6">
        <f>Source!BS104</f>
        <v>8.6</v>
      </c>
      <c r="K153" s="9">
        <f>Source!R104</f>
        <v>1857.6</v>
      </c>
      <c r="L153" s="6"/>
    </row>
    <row r="154" spans="1:12" ht="15">
      <c r="A154" s="6"/>
      <c r="B154" s="6"/>
      <c r="C154" s="6" t="s">
        <v>505</v>
      </c>
      <c r="D154" s="6"/>
      <c r="E154" s="6"/>
      <c r="F154" s="6">
        <f>Source!AL104</f>
        <v>11.01</v>
      </c>
      <c r="G154" s="21">
        <f>Source!DD104</f>
      </c>
      <c r="H154" s="22">
        <f>IF(Source!BC104&lt;&gt;0,Source!P104/Source!BC104,Source!P104)</f>
        <v>22.019002375296914</v>
      </c>
      <c r="I154" s="6"/>
      <c r="J154" s="6">
        <f>Source!BC104</f>
        <v>4.21</v>
      </c>
      <c r="K154" s="22">
        <f>Source!P104</f>
        <v>92.7</v>
      </c>
      <c r="L154" s="6"/>
    </row>
    <row r="155" spans="1:12" ht="15">
      <c r="A155" s="6"/>
      <c r="B155" s="6"/>
      <c r="C155" s="6" t="s">
        <v>500</v>
      </c>
      <c r="D155" s="9" t="s">
        <v>501</v>
      </c>
      <c r="E155" s="6"/>
      <c r="F155" s="6">
        <f>Source!AT104</f>
        <v>90.24</v>
      </c>
      <c r="G155" s="6"/>
      <c r="H155" s="22">
        <f>(F155/100)*((Source!S104/IF(Source!BA104&lt;&gt;0,Source!BA104,1))+(Source!R104/IF(Source!BS104&lt;&gt;0,Source!BS104,1)))</f>
        <v>961.8503218604651</v>
      </c>
      <c r="I155" s="6"/>
      <c r="J155" s="6">
        <f>Source!AT104</f>
        <v>90.24</v>
      </c>
      <c r="K155" s="22">
        <f>Source!X104</f>
        <v>8271.91</v>
      </c>
      <c r="L155" s="6"/>
    </row>
    <row r="156" spans="1:12" ht="15">
      <c r="A156" s="6"/>
      <c r="B156" s="6"/>
      <c r="C156" s="6" t="s">
        <v>502</v>
      </c>
      <c r="D156" s="9" t="s">
        <v>501</v>
      </c>
      <c r="E156" s="6"/>
      <c r="F156" s="6">
        <f>Source!AU104</f>
        <v>50</v>
      </c>
      <c r="G156" s="6"/>
      <c r="H156" s="22">
        <f>(F156/100)*((Source!S104/IF(Source!BA104&lt;&gt;0,Source!BA104,1))+(Source!R104/IF(Source!BS104&lt;&gt;0,Source!BS104,1)))</f>
        <v>532.9401162790698</v>
      </c>
      <c r="I156" s="6"/>
      <c r="J156" s="6">
        <f>Source!AU104</f>
        <v>50</v>
      </c>
      <c r="K156" s="22">
        <f>Source!Y104</f>
        <v>4583.29</v>
      </c>
      <c r="L156" s="6"/>
    </row>
    <row r="157" spans="1:12" ht="15">
      <c r="A157" s="6"/>
      <c r="B157" s="6"/>
      <c r="C157" s="6" t="s">
        <v>503</v>
      </c>
      <c r="D157" s="9" t="s">
        <v>504</v>
      </c>
      <c r="E157" s="6">
        <f>Source!AQ104</f>
        <v>39.9</v>
      </c>
      <c r="F157" s="6"/>
      <c r="G157" s="21">
        <f>Source!DI104</f>
      </c>
      <c r="H157" s="6"/>
      <c r="I157" s="6"/>
      <c r="J157" s="6"/>
      <c r="K157" s="6"/>
      <c r="L157" s="6">
        <f>Source!U104</f>
        <v>79.8</v>
      </c>
    </row>
    <row r="158" spans="1:23" ht="15">
      <c r="A158" s="33" t="str">
        <f>Source!E105</f>
        <v>5,1</v>
      </c>
      <c r="B158" s="33" t="str">
        <f>Source!F105</f>
        <v>411-0041</v>
      </c>
      <c r="C158" s="34" t="str">
        <f>Source!G105</f>
        <v>Электроэнергия</v>
      </c>
      <c r="D158" s="35" t="str">
        <f>Source!H105</f>
        <v>KВТ.Ч</v>
      </c>
      <c r="E158" s="36">
        <f>ROUND(Source!I105,6)</f>
        <v>51.2</v>
      </c>
      <c r="F158" s="36">
        <f>IF(Source!AL105=0,Source!AK105,Source!AL105)</f>
        <v>0.43</v>
      </c>
      <c r="G158" s="37">
        <f>Source!DD105</f>
      </c>
      <c r="H158" s="38">
        <f>IF(Source!BC105&lt;&gt;0,Source!O105/Source!BC105,Source!O105)</f>
        <v>22.016627078384797</v>
      </c>
      <c r="I158" s="36"/>
      <c r="J158" s="36">
        <f>Source!BC105</f>
        <v>4.21</v>
      </c>
      <c r="K158" s="38">
        <f>Source!O105</f>
        <v>92.69</v>
      </c>
      <c r="L158" s="36"/>
      <c r="N158">
        <f>IF(Source!BA105&lt;&gt;0,Source!S105/Source!BA105,Source!S105)</f>
        <v>0</v>
      </c>
      <c r="O158">
        <f>IF(Source!BI105=1,(IF(Source!BC105&lt;&gt;0,Source!O105/Source!BC105,Source!O105)),0)</f>
        <v>22.016627078384797</v>
      </c>
      <c r="P158">
        <f>IF(Source!BI105=2,(IF(Source!BC105&lt;&gt;0,Source!O105/Source!BC105,Source!O105)),0)</f>
        <v>0</v>
      </c>
      <c r="Q158">
        <f>IF(Source!BI105=3,(IF(Source!BC105&lt;&gt;0,Source!O105/Source!BC105,Source!O105)),0)</f>
        <v>0</v>
      </c>
      <c r="R158">
        <f>IF(Source!BI105=4,(IF(Source!BC105&lt;&gt;0,Source!O105/Source!BC105,Source!O105)),0)</f>
        <v>0</v>
      </c>
      <c r="S158">
        <f>IF(Source!BI105=1,Source!O105+Source!X105+Source!Y105,0)</f>
        <v>92.69</v>
      </c>
      <c r="T158">
        <f>IF(Source!BI105=2,Source!O105+Source!X105+Source!Y105,0)</f>
        <v>0</v>
      </c>
      <c r="U158">
        <f>IF(Source!BI105=3,Source!O105+Source!X105+Source!Y105,0)</f>
        <v>0</v>
      </c>
      <c r="V158">
        <f>IF(Source!BI105=4,Source!O105+Source!X105+Source!Y105,0)</f>
        <v>0</v>
      </c>
      <c r="W158">
        <f>IF(Source!BS105&lt;&gt;0,Source!R105/Source!BS105,Source!R105)</f>
        <v>0</v>
      </c>
    </row>
    <row r="159" spans="1:23" ht="15.75">
      <c r="A159" s="6"/>
      <c r="B159" s="6"/>
      <c r="C159" s="6"/>
      <c r="D159" s="6"/>
      <c r="E159" s="6"/>
      <c r="F159" s="6"/>
      <c r="G159" s="6"/>
      <c r="H159" s="28">
        <f>IF(Source!BA104&lt;&gt;0,Source!S104/Source!BA104,Source!S104)+IF(Source!BB104&lt;&gt;0,Source!Q104/Source!BB104,Source!Q104)+H154+H155+H156+H158</f>
        <v>3841.505922079523</v>
      </c>
      <c r="I159" s="29"/>
      <c r="J159" s="29"/>
      <c r="K159" s="28">
        <f>Source!S104+Source!Q104+K154+K155+K156+K158</f>
        <v>28034.87</v>
      </c>
      <c r="L159" s="29">
        <f>Source!U104</f>
        <v>79.8</v>
      </c>
      <c r="M159" s="23">
        <f>H159</f>
        <v>3841.505922079523</v>
      </c>
      <c r="N159">
        <f>IF(Source!BA104&lt;&gt;0,Source!S104/Source!BA104,Source!S104)</f>
        <v>849.8802325581396</v>
      </c>
      <c r="O159">
        <f>IF(Source!BI104=1,(IF(Source!BA104&lt;&gt;0,Source!S104/Source!BA104,Source!S104)+IF(Source!BB104&lt;&gt;0,Source!Q104/Source!BB104,Source!Q104)+IF(Source!BC104&lt;&gt;0,Source!P104/Source!BC104,Source!P104)+((Source!AT104/100)*((Source!S104/IF(Source!BA104&lt;&gt;0,Source!BA104,1))+(Source!R104/IF(Source!BS104&lt;&gt;0,Source!BS104,1))))+((Source!AU104/100)*((Source!S104/IF(Source!BA104&lt;&gt;0,Source!BA104,1))+(Source!R104/IF(Source!BS104&lt;&gt;0,Source!BS104,1))))),0)</f>
        <v>3819.489295001138</v>
      </c>
      <c r="P159">
        <f>IF(Source!BI104=2,(IF(Source!BA104&lt;&gt;0,Source!S104/Source!BA104,Source!S104)+IF(Source!BB104&lt;&gt;0,Source!Q104/Source!BB104,Source!Q104)+IF(Source!BC104&lt;&gt;0,Source!P104/Source!BC104,Source!P104)+((Source!AT104/100)*((Source!S104/IF(Source!BA104&lt;&gt;0,Source!BA104,1))+(Source!R104/IF(Source!BS104&lt;&gt;0,Source!BS104,1))))+((Source!AU104/100)*((Source!S104/IF(Source!BA104&lt;&gt;0,Source!BA104,1))+(Source!R104/IF(Source!BS104&lt;&gt;0,Source!BS104,1))))),0)</f>
        <v>0</v>
      </c>
      <c r="Q159">
        <f>IF(Source!BI104=3,(IF(Source!BA104&lt;&gt;0,Source!S104/Source!BA104,Source!S104)+IF(Source!BB104&lt;&gt;0,Source!Q104/Source!BB104,Source!Q104)+IF(Source!BC104&lt;&gt;0,Source!P104/Source!BC104,Source!P104)+((Source!AT104/100)*((Source!S104/IF(Source!BA104&lt;&gt;0,Source!BA104,1))+(Source!R104/IF(Source!BS104&lt;&gt;0,Source!BS104,1))))+((Source!AU104/100)*((Source!S104/IF(Source!BA104&lt;&gt;0,Source!BA104,1))+(Source!R104/IF(Source!BS104&lt;&gt;0,Source!BS104,1))))),0)</f>
        <v>0</v>
      </c>
      <c r="R159">
        <f>IF(Source!BI104=4,(IF(Source!BA104&lt;&gt;0,Source!S104/Source!BA104,Source!S104)+IF(Source!BB104&lt;&gt;0,Source!Q104/Source!BB104,Source!Q104)+IF(Source!BC104&lt;&gt;0,Source!P104/Source!BC104,Source!P104)+((Source!AT104/100)*((Source!S104/IF(Source!BA104&lt;&gt;0,Source!BA104,1))+(Source!R104/IF(Source!BS104&lt;&gt;0,Source!BS104,1))))+((Source!AU104/100)*((Source!S104/IF(Source!BA104&lt;&gt;0,Source!BA104,1))+(Source!R104/IF(Source!BS104&lt;&gt;0,Source!BS104,1))))),0)</f>
        <v>0</v>
      </c>
      <c r="S159">
        <f>IF(Source!BI104=1,Source!O104+Source!X104+Source!Y104,0)</f>
        <v>27942.18</v>
      </c>
      <c r="T159">
        <f>IF(Source!BI104=2,Source!O104+Source!X104+Source!Y104,0)</f>
        <v>0</v>
      </c>
      <c r="U159">
        <f>IF(Source!BI104=3,Source!O104+Source!X104+Source!Y104,0)</f>
        <v>0</v>
      </c>
      <c r="V159">
        <f>IF(Source!BI104=4,Source!O104+Source!X104+Source!Y104,0)</f>
        <v>0</v>
      </c>
      <c r="W159">
        <f>IF(Source!BS104&lt;&gt;0,Source!R104/Source!BS104,Source!R104)</f>
        <v>216</v>
      </c>
    </row>
    <row r="160" spans="1:12" ht="60">
      <c r="A160" s="18" t="str">
        <f>Source!E106</f>
        <v>6</v>
      </c>
      <c r="B160" s="18" t="str">
        <f>Source!F106</f>
        <v>21-03-007-6</v>
      </c>
      <c r="C160" s="19" t="str">
        <f>Source!G106</f>
        <v>Устройство заземления рельсового пути для башенных кранов в грунтах 2 группы при количестве очагов заземления два</v>
      </c>
      <c r="D160" s="20" t="str">
        <f>Source!H106</f>
        <v>1 заземление</v>
      </c>
      <c r="E160" s="8">
        <f>ROUND(Source!I106,6)</f>
        <v>8</v>
      </c>
      <c r="F160" s="8">
        <f>IF(Source!AK106&lt;&gt;0,Source!AK106,Source!AL106+Source!AM106+Source!AO106)</f>
        <v>2329.44</v>
      </c>
      <c r="G160" s="8"/>
      <c r="H160" s="8"/>
      <c r="I160" s="8"/>
      <c r="J160" s="8"/>
      <c r="K160" s="8"/>
      <c r="L160" s="8"/>
    </row>
    <row r="161" spans="1:12" ht="15">
      <c r="A161" s="6"/>
      <c r="B161" s="6"/>
      <c r="C161" s="6" t="s">
        <v>498</v>
      </c>
      <c r="D161" s="6"/>
      <c r="E161" s="6"/>
      <c r="F161" s="6">
        <f>Source!AO106</f>
        <v>593.51</v>
      </c>
      <c r="G161" s="21">
        <f>Source!DG106</f>
      </c>
      <c r="H161" s="22">
        <f>IF(Source!BA106&lt;&gt;0,Source!S106/Source!BA106,Source!S106)</f>
        <v>4748.08023255814</v>
      </c>
      <c r="I161" s="6" t="str">
        <f>IF(Source!BO106&lt;&gt;"",Source!BO106,"")</f>
        <v>21-03-007-6</v>
      </c>
      <c r="J161" s="6">
        <f>Source!BA106</f>
        <v>8.6</v>
      </c>
      <c r="K161" s="22">
        <f>Source!S106</f>
        <v>40833.49</v>
      </c>
      <c r="L161" s="6"/>
    </row>
    <row r="162" spans="1:12" ht="15">
      <c r="A162" s="6"/>
      <c r="B162" s="6"/>
      <c r="C162" s="6" t="s">
        <v>65</v>
      </c>
      <c r="D162" s="6"/>
      <c r="E162" s="6"/>
      <c r="F162" s="6">
        <f>Source!AM106</f>
        <v>354.61</v>
      </c>
      <c r="G162" s="21">
        <f>Source!DE106</f>
      </c>
      <c r="H162" s="22">
        <f>IF(Source!BB106&lt;&gt;0,Source!Q106/Source!BB106,Source!Q106)</f>
        <v>2836.8792270531403</v>
      </c>
      <c r="I162" s="6"/>
      <c r="J162" s="6">
        <f>Source!BB106</f>
        <v>4.14</v>
      </c>
      <c r="K162" s="22">
        <f>Source!Q106</f>
        <v>11744.68</v>
      </c>
      <c r="L162" s="6"/>
    </row>
    <row r="163" spans="1:12" ht="15">
      <c r="A163" s="6"/>
      <c r="B163" s="6"/>
      <c r="C163" s="6" t="s">
        <v>499</v>
      </c>
      <c r="D163" s="6"/>
      <c r="E163" s="6"/>
      <c r="F163" s="6">
        <f>Source!AN106</f>
        <v>20.91</v>
      </c>
      <c r="G163" s="21">
        <f>Source!DF106</f>
      </c>
      <c r="H163" s="24">
        <f>IF(Source!BS106&lt;&gt;0,Source!R106/Source!BS106,Source!R106)</f>
        <v>167.28023255813952</v>
      </c>
      <c r="I163" s="6"/>
      <c r="J163" s="6">
        <f>Source!BS106</f>
        <v>8.6</v>
      </c>
      <c r="K163" s="9">
        <f>Source!R106</f>
        <v>1438.61</v>
      </c>
      <c r="L163" s="6"/>
    </row>
    <row r="164" spans="1:12" ht="15">
      <c r="A164" s="6"/>
      <c r="B164" s="6"/>
      <c r="C164" s="6" t="s">
        <v>505</v>
      </c>
      <c r="D164" s="6"/>
      <c r="E164" s="6"/>
      <c r="F164" s="6">
        <f>Source!AL106</f>
        <v>1381.32</v>
      </c>
      <c r="G164" s="21">
        <f>Source!DD106</f>
      </c>
      <c r="H164" s="22">
        <f>IF(Source!BC106&lt;&gt;0,Source!P106/Source!BC106,Source!P106)</f>
        <v>11050.560526315789</v>
      </c>
      <c r="I164" s="6"/>
      <c r="J164" s="6">
        <f>Source!BC106</f>
        <v>3.8</v>
      </c>
      <c r="K164" s="22">
        <f>Source!P106</f>
        <v>41992.13</v>
      </c>
      <c r="L164" s="6"/>
    </row>
    <row r="165" spans="1:12" ht="15">
      <c r="A165" s="6"/>
      <c r="B165" s="6"/>
      <c r="C165" s="6" t="s">
        <v>500</v>
      </c>
      <c r="D165" s="9" t="s">
        <v>501</v>
      </c>
      <c r="E165" s="6"/>
      <c r="F165" s="6">
        <f>Source!AT106</f>
        <v>90.24</v>
      </c>
      <c r="G165" s="6"/>
      <c r="H165" s="22">
        <f>(F165/100)*((Source!S106/IF(Source!BA106&lt;&gt;0,Source!BA106,1))+(Source!R106/IF(Source!BS106&lt;&gt;0,Source!BS106,1)))</f>
        <v>4435.6212837209305</v>
      </c>
      <c r="I165" s="6"/>
      <c r="J165" s="6">
        <f>Source!AT106</f>
        <v>90.24</v>
      </c>
      <c r="K165" s="22">
        <f>Source!X106</f>
        <v>38146.34</v>
      </c>
      <c r="L165" s="6"/>
    </row>
    <row r="166" spans="1:12" ht="15">
      <c r="A166" s="6"/>
      <c r="B166" s="6"/>
      <c r="C166" s="6" t="s">
        <v>502</v>
      </c>
      <c r="D166" s="9" t="s">
        <v>501</v>
      </c>
      <c r="E166" s="6"/>
      <c r="F166" s="6">
        <f>Source!AU106</f>
        <v>50</v>
      </c>
      <c r="G166" s="6"/>
      <c r="H166" s="22">
        <f>(F166/100)*((Source!S106/IF(Source!BA106&lt;&gt;0,Source!BA106,1))+(Source!R106/IF(Source!BS106&lt;&gt;0,Source!BS106,1)))</f>
        <v>2457.68023255814</v>
      </c>
      <c r="I166" s="6"/>
      <c r="J166" s="6">
        <f>Source!AU106</f>
        <v>50</v>
      </c>
      <c r="K166" s="22">
        <f>Source!Y106</f>
        <v>21136.05</v>
      </c>
      <c r="L166" s="6"/>
    </row>
    <row r="167" spans="1:12" ht="15">
      <c r="A167" s="25"/>
      <c r="B167" s="25"/>
      <c r="C167" s="25" t="s">
        <v>503</v>
      </c>
      <c r="D167" s="26" t="s">
        <v>504</v>
      </c>
      <c r="E167" s="25">
        <f>Source!AQ106</f>
        <v>67.83</v>
      </c>
      <c r="F167" s="25"/>
      <c r="G167" s="27">
        <f>Source!DI106</f>
      </c>
      <c r="H167" s="25"/>
      <c r="I167" s="25"/>
      <c r="J167" s="25"/>
      <c r="K167" s="25"/>
      <c r="L167" s="25">
        <f>Source!U106</f>
        <v>542.64</v>
      </c>
    </row>
    <row r="168" spans="1:23" ht="15.75">
      <c r="A168" s="6"/>
      <c r="B168" s="6"/>
      <c r="C168" s="6"/>
      <c r="D168" s="6"/>
      <c r="E168" s="6"/>
      <c r="F168" s="6"/>
      <c r="G168" s="6"/>
      <c r="H168" s="28">
        <f>IF(Source!BA106&lt;&gt;0,Source!S106/Source!BA106,Source!S106)+IF(Source!BB106&lt;&gt;0,Source!Q106/Source!BB106,Source!Q106)+H164+H165+H166</f>
        <v>25528.82150220614</v>
      </c>
      <c r="I168" s="29"/>
      <c r="J168" s="29"/>
      <c r="K168" s="28">
        <f>Source!S106+Source!Q106+K164+K165+K166</f>
        <v>153852.68999999997</v>
      </c>
      <c r="L168" s="29">
        <f>Source!U106</f>
        <v>542.64</v>
      </c>
      <c r="M168" s="23">
        <f>H168</f>
        <v>25528.82150220614</v>
      </c>
      <c r="N168">
        <f>IF(Source!BA106&lt;&gt;0,Source!S106/Source!BA106,Source!S106)</f>
        <v>4748.08023255814</v>
      </c>
      <c r="O168">
        <f>IF(Source!BI106=1,(IF(Source!BA106&lt;&gt;0,Source!S106/Source!BA106,Source!S106)+IF(Source!BB106&lt;&gt;0,Source!Q106/Source!BB106,Source!Q106)+IF(Source!BC106&lt;&gt;0,Source!P106/Source!BC106,Source!P106)+((Source!AT106/100)*((Source!S106/IF(Source!BA106&lt;&gt;0,Source!BA106,1))+(Source!R106/IF(Source!BS106&lt;&gt;0,Source!BS106,1))))+((Source!AU106/100)*((Source!S106/IF(Source!BA106&lt;&gt;0,Source!BA106,1))+(Source!R106/IF(Source!BS106&lt;&gt;0,Source!BS106,1))))),0)</f>
        <v>25528.82150220614</v>
      </c>
      <c r="P168">
        <f>IF(Source!BI106=2,(IF(Source!BA106&lt;&gt;0,Source!S106/Source!BA106,Source!S106)+IF(Source!BB106&lt;&gt;0,Source!Q106/Source!BB106,Source!Q106)+IF(Source!BC106&lt;&gt;0,Source!P106/Source!BC106,Source!P106)+((Source!AT106/100)*((Source!S106/IF(Source!BA106&lt;&gt;0,Source!BA106,1))+(Source!R106/IF(Source!BS106&lt;&gt;0,Source!BS106,1))))+((Source!AU106/100)*((Source!S106/IF(Source!BA106&lt;&gt;0,Source!BA106,1))+(Source!R106/IF(Source!BS106&lt;&gt;0,Source!BS106,1))))),0)</f>
        <v>0</v>
      </c>
      <c r="Q168">
        <f>IF(Source!BI106=3,(IF(Source!BA106&lt;&gt;0,Source!S106/Source!BA106,Source!S106)+IF(Source!BB106&lt;&gt;0,Source!Q106/Source!BB106,Source!Q106)+IF(Source!BC106&lt;&gt;0,Source!P106/Source!BC106,Source!P106)+((Source!AT106/100)*((Source!S106/IF(Source!BA106&lt;&gt;0,Source!BA106,1))+(Source!R106/IF(Source!BS106&lt;&gt;0,Source!BS106,1))))+((Source!AU106/100)*((Source!S106/IF(Source!BA106&lt;&gt;0,Source!BA106,1))+(Source!R106/IF(Source!BS106&lt;&gt;0,Source!BS106,1))))),0)</f>
        <v>0</v>
      </c>
      <c r="R168">
        <f>IF(Source!BI106=4,(IF(Source!BA106&lt;&gt;0,Source!S106/Source!BA106,Source!S106)+IF(Source!BB106&lt;&gt;0,Source!Q106/Source!BB106,Source!Q106)+IF(Source!BC106&lt;&gt;0,Source!P106/Source!BC106,Source!P106)+((Source!AT106/100)*((Source!S106/IF(Source!BA106&lt;&gt;0,Source!BA106,1))+(Source!R106/IF(Source!BS106&lt;&gt;0,Source!BS106,1))))+((Source!AU106/100)*((Source!S106/IF(Source!BA106&lt;&gt;0,Source!BA106,1))+(Source!R106/IF(Source!BS106&lt;&gt;0,Source!BS106,1))))),0)</f>
        <v>0</v>
      </c>
      <c r="S168">
        <f>IF(Source!BI106=1,Source!O106+Source!X106+Source!Y106,0)</f>
        <v>153852.69</v>
      </c>
      <c r="T168">
        <f>IF(Source!BI106=2,Source!O106+Source!X106+Source!Y106,0)</f>
        <v>0</v>
      </c>
      <c r="U168">
        <f>IF(Source!BI106=3,Source!O106+Source!X106+Source!Y106,0)</f>
        <v>0</v>
      </c>
      <c r="V168">
        <f>IF(Source!BI106=4,Source!O106+Source!X106+Source!Y106,0)</f>
        <v>0</v>
      </c>
      <c r="W168">
        <f>IF(Source!BS106&lt;&gt;0,Source!R106/Source!BS106,Source!R106)</f>
        <v>167.28023255813952</v>
      </c>
    </row>
    <row r="170" spans="3:23" s="29" customFormat="1" ht="15.75">
      <c r="C170" s="29" t="s">
        <v>506</v>
      </c>
      <c r="G170" s="58">
        <f>SUM(M114:M169)</f>
        <v>110931.70937174067</v>
      </c>
      <c r="H170" s="58"/>
      <c r="J170" s="58">
        <f>ROUND(Source!AB96+Source!AK96+Source!AL96+Source!AE96*0/100,2)</f>
        <v>507548.41</v>
      </c>
      <c r="K170" s="58"/>
      <c r="L170" s="29">
        <f>Source!AH96</f>
        <v>832.94</v>
      </c>
      <c r="N170" s="28">
        <f aca="true" t="shared" si="2" ref="N170:W170">SUM(N114:N169)</f>
        <v>7388.28023255814</v>
      </c>
      <c r="O170" s="28">
        <f t="shared" si="2"/>
        <v>110931.70937174067</v>
      </c>
      <c r="P170" s="28">
        <f t="shared" si="2"/>
        <v>0</v>
      </c>
      <c r="Q170" s="28">
        <f t="shared" si="2"/>
        <v>0</v>
      </c>
      <c r="R170" s="28">
        <f t="shared" si="2"/>
        <v>0</v>
      </c>
      <c r="S170" s="28">
        <f t="shared" si="2"/>
        <v>507548.41000000003</v>
      </c>
      <c r="T170" s="28">
        <f t="shared" si="2"/>
        <v>0</v>
      </c>
      <c r="U170" s="28">
        <f t="shared" si="2"/>
        <v>0</v>
      </c>
      <c r="V170" s="28">
        <f t="shared" si="2"/>
        <v>0</v>
      </c>
      <c r="W170" s="29">
        <f t="shared" si="2"/>
        <v>1833.7802325581395</v>
      </c>
    </row>
    <row r="173" spans="3:11" ht="18">
      <c r="C173" s="32" t="s">
        <v>507</v>
      </c>
      <c r="D173" s="59" t="str">
        <f>Source!G108</f>
        <v>Устройство подкрановых путей</v>
      </c>
      <c r="E173" s="59"/>
      <c r="F173" s="59"/>
      <c r="G173" s="59"/>
      <c r="H173" s="59"/>
      <c r="I173" s="59"/>
      <c r="J173" s="59"/>
      <c r="K173" s="59"/>
    </row>
    <row r="174" spans="3:12" ht="18">
      <c r="C174" s="60" t="str">
        <f>Source!H124</f>
        <v>ИТОГО</v>
      </c>
      <c r="D174" s="60"/>
      <c r="E174" s="60"/>
      <c r="F174" s="60"/>
      <c r="G174" s="60"/>
      <c r="H174" s="60"/>
      <c r="I174" s="60"/>
      <c r="J174" s="61">
        <f>Source!F124</f>
        <v>507548.41</v>
      </c>
      <c r="K174" s="62"/>
      <c r="L174" s="31"/>
    </row>
    <row r="175" spans="3:12" ht="18">
      <c r="C175" s="60" t="str">
        <f>Source!H127</f>
        <v>ЗИМНЕЕ УДОРОЖАНИЕ %</v>
      </c>
      <c r="D175" s="60"/>
      <c r="E175" s="60"/>
      <c r="F175" s="60"/>
      <c r="G175" s="60"/>
      <c r="H175" s="60"/>
      <c r="I175" s="60"/>
      <c r="J175" s="61">
        <f>Source!F127</f>
        <v>1.2</v>
      </c>
      <c r="K175" s="62"/>
      <c r="L175" s="31"/>
    </row>
    <row r="176" spans="3:12" ht="18">
      <c r="C176" s="60" t="str">
        <f>Source!H128</f>
        <v>С ЗИМНИМ УДОРОЖАНИЕМ</v>
      </c>
      <c r="D176" s="60"/>
      <c r="E176" s="60"/>
      <c r="F176" s="60"/>
      <c r="G176" s="60"/>
      <c r="H176" s="60"/>
      <c r="I176" s="60"/>
      <c r="J176" s="61">
        <f>Source!F128</f>
        <v>513638.99</v>
      </c>
      <c r="K176" s="62"/>
      <c r="L176" s="31"/>
    </row>
    <row r="177" spans="3:12" ht="18">
      <c r="C177" s="60" t="str">
        <f>Source!H131</f>
        <v>НДС 18%</v>
      </c>
      <c r="D177" s="60"/>
      <c r="E177" s="60"/>
      <c r="F177" s="60"/>
      <c r="G177" s="60"/>
      <c r="H177" s="60"/>
      <c r="I177" s="60"/>
      <c r="J177" s="61">
        <f>Source!F131</f>
        <v>92455.02</v>
      </c>
      <c r="K177" s="62"/>
      <c r="L177" s="31"/>
    </row>
    <row r="178" spans="3:12" ht="18">
      <c r="C178" s="60" t="str">
        <f>Source!H132</f>
        <v>ВСЕГО</v>
      </c>
      <c r="D178" s="60"/>
      <c r="E178" s="60"/>
      <c r="F178" s="60"/>
      <c r="G178" s="60"/>
      <c r="H178" s="60"/>
      <c r="I178" s="60"/>
      <c r="J178" s="61">
        <f>Source!F132</f>
        <v>606094.02</v>
      </c>
      <c r="K178" s="62"/>
      <c r="L178" s="31"/>
    </row>
    <row r="180" spans="3:23" s="32" customFormat="1" ht="18" hidden="1">
      <c r="C180" s="32" t="s">
        <v>508</v>
      </c>
      <c r="G180" s="63">
        <f>G73+G103+G170</f>
        <v>238696.4434515657</v>
      </c>
      <c r="H180" s="63"/>
      <c r="J180" s="63">
        <f>ROUND(Source!O134+Source!X134+Source!Y134+Source!R134*0/100,2)</f>
        <v>1332536.16</v>
      </c>
      <c r="K180" s="63"/>
      <c r="L180" s="32">
        <f>Source!U134</f>
        <v>1544.14</v>
      </c>
      <c r="N180" s="39">
        <f aca="true" t="shared" si="3" ref="N180:W180">N73+N103+N170</f>
        <v>13016.876744186047</v>
      </c>
      <c r="O180" s="39">
        <f t="shared" si="3"/>
        <v>236578.29345156567</v>
      </c>
      <c r="P180" s="39">
        <f t="shared" si="3"/>
        <v>0</v>
      </c>
      <c r="Q180" s="39">
        <f t="shared" si="3"/>
        <v>0</v>
      </c>
      <c r="R180" s="39">
        <f t="shared" si="3"/>
        <v>2118.15</v>
      </c>
      <c r="S180" s="39">
        <f t="shared" si="3"/>
        <v>1330418.01</v>
      </c>
      <c r="T180" s="39">
        <f t="shared" si="3"/>
        <v>0</v>
      </c>
      <c r="U180" s="39">
        <f t="shared" si="3"/>
        <v>0</v>
      </c>
      <c r="V180" s="39">
        <f t="shared" si="3"/>
        <v>2118.15</v>
      </c>
      <c r="W180" s="32">
        <f t="shared" si="3"/>
        <v>3698.644186046512</v>
      </c>
    </row>
    <row r="181" ht="12.75" hidden="1"/>
    <row r="182" spans="3:11" ht="18" hidden="1">
      <c r="C182" s="32" t="s">
        <v>509</v>
      </c>
      <c r="D182" s="59" t="str">
        <f>Source!G134</f>
        <v>Новая локальная смета</v>
      </c>
      <c r="E182" s="59"/>
      <c r="F182" s="59"/>
      <c r="G182" s="59"/>
      <c r="H182" s="59"/>
      <c r="I182" s="59"/>
      <c r="J182" s="59"/>
      <c r="K182" s="59"/>
    </row>
    <row r="183" spans="3:12" ht="18" hidden="1">
      <c r="C183" s="60" t="str">
        <f>Source!H150</f>
        <v>ИТОГО</v>
      </c>
      <c r="D183" s="60"/>
      <c r="E183" s="60"/>
      <c r="F183" s="60"/>
      <c r="G183" s="60"/>
      <c r="H183" s="60"/>
      <c r="I183" s="60"/>
      <c r="J183" s="61">
        <f>Source!F150</f>
        <v>1332536.16</v>
      </c>
      <c r="K183" s="62"/>
      <c r="L183" s="31"/>
    </row>
    <row r="184" spans="3:12" ht="18" hidden="1">
      <c r="C184" s="60" t="str">
        <f>Source!H153</f>
        <v>ЗИМНЕЕ УДОРОЖАНИЕ %</v>
      </c>
      <c r="D184" s="60"/>
      <c r="E184" s="60"/>
      <c r="F184" s="60"/>
      <c r="G184" s="60"/>
      <c r="H184" s="60"/>
      <c r="I184" s="60"/>
      <c r="J184" s="61">
        <f>Source!F153</f>
        <v>1.2</v>
      </c>
      <c r="K184" s="62"/>
      <c r="L184" s="31"/>
    </row>
    <row r="185" spans="3:12" ht="18" hidden="1">
      <c r="C185" s="60" t="str">
        <f>Source!H154</f>
        <v>С ЗИМНИМ УДОРОЖАНИЕМ</v>
      </c>
      <c r="D185" s="60"/>
      <c r="E185" s="60"/>
      <c r="F185" s="60"/>
      <c r="G185" s="60"/>
      <c r="H185" s="60"/>
      <c r="I185" s="60"/>
      <c r="J185" s="61">
        <f>Source!F154</f>
        <v>1348526.59</v>
      </c>
      <c r="K185" s="62"/>
      <c r="L185" s="31"/>
    </row>
    <row r="186" spans="3:12" ht="18" hidden="1">
      <c r="C186" s="60" t="str">
        <f>Source!H157</f>
        <v>НДС 18%</v>
      </c>
      <c r="D186" s="60"/>
      <c r="E186" s="60"/>
      <c r="F186" s="60"/>
      <c r="G186" s="60"/>
      <c r="H186" s="60"/>
      <c r="I186" s="60"/>
      <c r="J186" s="61">
        <f>Source!F157</f>
        <v>242734.79</v>
      </c>
      <c r="K186" s="62"/>
      <c r="L186" s="31"/>
    </row>
    <row r="187" spans="3:12" ht="18" hidden="1">
      <c r="C187" s="60" t="str">
        <f>Source!H158</f>
        <v>ВСЕГО</v>
      </c>
      <c r="D187" s="60"/>
      <c r="E187" s="60"/>
      <c r="F187" s="60"/>
      <c r="G187" s="60"/>
      <c r="H187" s="60"/>
      <c r="I187" s="60"/>
      <c r="J187" s="61">
        <f>Source!F158</f>
        <v>1591261.4</v>
      </c>
      <c r="K187" s="62"/>
      <c r="L187" s="31"/>
    </row>
    <row r="189" spans="3:11" ht="18">
      <c r="C189" s="32" t="s">
        <v>510</v>
      </c>
      <c r="D189" s="59" t="str">
        <f>Source!G160</f>
        <v>Монтаж подкрановых путей</v>
      </c>
      <c r="E189" s="59"/>
      <c r="F189" s="59"/>
      <c r="G189" s="59"/>
      <c r="H189" s="59"/>
      <c r="I189" s="59"/>
      <c r="J189" s="59"/>
      <c r="K189" s="59"/>
    </row>
    <row r="190" spans="3:12" ht="18">
      <c r="C190" s="60" t="str">
        <f>Source!H176</f>
        <v>ИТОГО</v>
      </c>
      <c r="D190" s="60"/>
      <c r="E190" s="60"/>
      <c r="F190" s="60"/>
      <c r="G190" s="60"/>
      <c r="H190" s="60"/>
      <c r="I190" s="60"/>
      <c r="J190" s="61">
        <f>Source!F176</f>
        <v>1332536.16</v>
      </c>
      <c r="K190" s="62"/>
      <c r="L190" s="31"/>
    </row>
    <row r="191" spans="3:12" ht="18">
      <c r="C191" s="60" t="str">
        <f>Source!H179</f>
        <v>ЗИМНЕЕ УДОРОЖАНИЕ %</v>
      </c>
      <c r="D191" s="60"/>
      <c r="E191" s="60"/>
      <c r="F191" s="60"/>
      <c r="G191" s="60"/>
      <c r="H191" s="60"/>
      <c r="I191" s="60"/>
      <c r="J191" s="61">
        <f>Source!F179</f>
        <v>1.2</v>
      </c>
      <c r="K191" s="62"/>
      <c r="L191" s="31"/>
    </row>
    <row r="192" spans="3:12" ht="18">
      <c r="C192" s="60" t="str">
        <f>Source!H180</f>
        <v>С ЗИМНИМ УДОРОЖАНИЕМ</v>
      </c>
      <c r="D192" s="60"/>
      <c r="E192" s="60"/>
      <c r="F192" s="60"/>
      <c r="G192" s="60"/>
      <c r="H192" s="60"/>
      <c r="I192" s="60"/>
      <c r="J192" s="61">
        <f>Source!F180</f>
        <v>1348526.59</v>
      </c>
      <c r="K192" s="62"/>
      <c r="L192" s="31"/>
    </row>
    <row r="193" spans="3:12" ht="18">
      <c r="C193" s="60" t="str">
        <f>Source!H183</f>
        <v>НДС 18%</v>
      </c>
      <c r="D193" s="60"/>
      <c r="E193" s="60"/>
      <c r="F193" s="60"/>
      <c r="G193" s="60"/>
      <c r="H193" s="60"/>
      <c r="I193" s="60"/>
      <c r="J193" s="61">
        <f>Source!F183</f>
        <v>242734.79</v>
      </c>
      <c r="K193" s="62"/>
      <c r="L193" s="31"/>
    </row>
    <row r="194" spans="3:12" ht="18">
      <c r="C194" s="60" t="str">
        <f>Source!H184</f>
        <v>ВСЕГО</v>
      </c>
      <c r="D194" s="60"/>
      <c r="E194" s="60"/>
      <c r="F194" s="60"/>
      <c r="G194" s="60"/>
      <c r="H194" s="60"/>
      <c r="I194" s="60"/>
      <c r="J194" s="61">
        <f>Source!F184</f>
        <v>1591261.4</v>
      </c>
      <c r="K194" s="62"/>
      <c r="L194" s="31"/>
    </row>
    <row r="198" spans="1:8" s="4" customFormat="1" ht="12.75">
      <c r="A198" s="4" t="s">
        <v>511</v>
      </c>
      <c r="C198" s="40" t="str">
        <f>IF(Source!AO12&lt;&gt;"",Source!AO12," ")</f>
        <v> </v>
      </c>
      <c r="D198" s="40"/>
      <c r="E198" s="40"/>
      <c r="F198" s="40"/>
      <c r="G198" s="40"/>
      <c r="H198" s="4" t="str">
        <f>IF(Source!R12&lt;&gt;"",Source!R12," ")</f>
        <v> </v>
      </c>
    </row>
    <row r="199" spans="3:7" s="5" customFormat="1" ht="11.25">
      <c r="C199" s="64" t="s">
        <v>512</v>
      </c>
      <c r="D199" s="64"/>
      <c r="E199" s="64"/>
      <c r="F199" s="64"/>
      <c r="G199" s="64"/>
    </row>
    <row r="201" spans="1:8" s="4" customFormat="1" ht="12.75">
      <c r="A201" s="4" t="s">
        <v>513</v>
      </c>
      <c r="C201" s="40" t="str">
        <f>IF(Source!AP12&lt;&gt;"",Source!AP12," ")</f>
        <v> </v>
      </c>
      <c r="D201" s="40"/>
      <c r="E201" s="40"/>
      <c r="F201" s="40"/>
      <c r="G201" s="40"/>
      <c r="H201" s="4" t="str">
        <f>IF(Source!S12&lt;&gt;"",Source!S12," ")</f>
        <v> </v>
      </c>
    </row>
    <row r="202" spans="3:7" s="5" customFormat="1" ht="11.25">
      <c r="C202" s="64" t="s">
        <v>512</v>
      </c>
      <c r="D202" s="64"/>
      <c r="E202" s="64"/>
      <c r="F202" s="64"/>
      <c r="G202" s="64"/>
    </row>
  </sheetData>
  <mergeCells count="104">
    <mergeCell ref="C199:G199"/>
    <mergeCell ref="C202:G202"/>
    <mergeCell ref="C193:I193"/>
    <mergeCell ref="J193:K193"/>
    <mergeCell ref="C194:I194"/>
    <mergeCell ref="J194:K194"/>
    <mergeCell ref="C191:I191"/>
    <mergeCell ref="J191:K191"/>
    <mergeCell ref="C192:I192"/>
    <mergeCell ref="J192:K192"/>
    <mergeCell ref="C187:I187"/>
    <mergeCell ref="J187:K187"/>
    <mergeCell ref="D189:K189"/>
    <mergeCell ref="C190:I190"/>
    <mergeCell ref="J190:K190"/>
    <mergeCell ref="C185:I185"/>
    <mergeCell ref="J185:K185"/>
    <mergeCell ref="C186:I186"/>
    <mergeCell ref="J186:K186"/>
    <mergeCell ref="D182:K182"/>
    <mergeCell ref="C183:I183"/>
    <mergeCell ref="J183:K183"/>
    <mergeCell ref="C184:I184"/>
    <mergeCell ref="J184:K184"/>
    <mergeCell ref="C178:I178"/>
    <mergeCell ref="J178:K178"/>
    <mergeCell ref="J180:K180"/>
    <mergeCell ref="G180:H180"/>
    <mergeCell ref="C176:I176"/>
    <mergeCell ref="J176:K176"/>
    <mergeCell ref="C177:I177"/>
    <mergeCell ref="J177:K177"/>
    <mergeCell ref="D173:K173"/>
    <mergeCell ref="C174:I174"/>
    <mergeCell ref="J174:K174"/>
    <mergeCell ref="C175:I175"/>
    <mergeCell ref="J175:K175"/>
    <mergeCell ref="C111:I111"/>
    <mergeCell ref="J111:K111"/>
    <mergeCell ref="D112:K112"/>
    <mergeCell ref="J170:K170"/>
    <mergeCell ref="G170:H170"/>
    <mergeCell ref="C109:I109"/>
    <mergeCell ref="J109:K109"/>
    <mergeCell ref="C110:I110"/>
    <mergeCell ref="J110:K110"/>
    <mergeCell ref="D106:K106"/>
    <mergeCell ref="C107:I107"/>
    <mergeCell ref="J107:K107"/>
    <mergeCell ref="C108:I108"/>
    <mergeCell ref="J108:K108"/>
    <mergeCell ref="C81:I81"/>
    <mergeCell ref="J81:K81"/>
    <mergeCell ref="D82:K82"/>
    <mergeCell ref="J103:K103"/>
    <mergeCell ref="G103:H103"/>
    <mergeCell ref="C79:I79"/>
    <mergeCell ref="J79:K79"/>
    <mergeCell ref="C80:I80"/>
    <mergeCell ref="J80:K80"/>
    <mergeCell ref="D76:K76"/>
    <mergeCell ref="C77:I77"/>
    <mergeCell ref="J77:K77"/>
    <mergeCell ref="C78:I78"/>
    <mergeCell ref="J78:K78"/>
    <mergeCell ref="A20:C20"/>
    <mergeCell ref="D27:K27"/>
    <mergeCell ref="J73:K73"/>
    <mergeCell ref="G73:H73"/>
    <mergeCell ref="C18:F18"/>
    <mergeCell ref="G18:H18"/>
    <mergeCell ref="I18:J18"/>
    <mergeCell ref="K18:L18"/>
    <mergeCell ref="C17:F17"/>
    <mergeCell ref="G17:H17"/>
    <mergeCell ref="I17:J17"/>
    <mergeCell ref="K17:L17"/>
    <mergeCell ref="C16:F16"/>
    <mergeCell ref="G16:H16"/>
    <mergeCell ref="I16:J16"/>
    <mergeCell ref="K16:L16"/>
    <mergeCell ref="C15:F15"/>
    <mergeCell ref="G15:H15"/>
    <mergeCell ref="I15:J15"/>
    <mergeCell ref="K15:L15"/>
    <mergeCell ref="C14:F14"/>
    <mergeCell ref="G14:H14"/>
    <mergeCell ref="I14:J14"/>
    <mergeCell ref="K14:L14"/>
    <mergeCell ref="C13:F13"/>
    <mergeCell ref="G13:H13"/>
    <mergeCell ref="I13:J13"/>
    <mergeCell ref="K13:L13"/>
    <mergeCell ref="A8:L8"/>
    <mergeCell ref="G11:H11"/>
    <mergeCell ref="I11:J11"/>
    <mergeCell ref="C12:F12"/>
    <mergeCell ref="G12:H12"/>
    <mergeCell ref="I12:J12"/>
    <mergeCell ref="K12:L12"/>
    <mergeCell ref="A1:L1"/>
    <mergeCell ref="B3:L3"/>
    <mergeCell ref="B5:L5"/>
    <mergeCell ref="B6:L6"/>
  </mergeCells>
  <printOptions/>
  <pageMargins left="0.590551181102362" right="0.393700787401575" top="0.393700787401575" bottom="0.393700787401575" header="0.196850393700787" footer="0.196850393700787"/>
  <pageSetup horizontalDpi="600" verticalDpi="600" orientation="portrait" paperSize="9" scale="60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N233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0</v>
      </c>
      <c r="L1">
        <v>21359</v>
      </c>
    </row>
    <row r="12" spans="1:103" ht="12.75">
      <c r="A12" s="1">
        <v>1</v>
      </c>
      <c r="B12" s="1">
        <v>1</v>
      </c>
      <c r="C12" s="1">
        <v>0</v>
      </c>
      <c r="D12" s="1">
        <f>ROW(A160)</f>
        <v>160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6</v>
      </c>
      <c r="P12" s="1">
        <v>2007</v>
      </c>
      <c r="Q12" s="1">
        <v>3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-1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7297735</v>
      </c>
      <c r="BE12" s="1" t="s">
        <v>7</v>
      </c>
      <c r="BF12" s="1" t="s">
        <v>8</v>
      </c>
      <c r="BG12" s="1">
        <v>5677303</v>
      </c>
      <c r="BH12" s="1">
        <v>0</v>
      </c>
      <c r="BI12" s="1">
        <v>1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0</v>
      </c>
      <c r="BW12" s="1">
        <v>1</v>
      </c>
      <c r="BX12" s="1">
        <v>0</v>
      </c>
      <c r="BY12" s="1">
        <v>1</v>
      </c>
      <c r="BZ12" s="1">
        <v>0</v>
      </c>
      <c r="CA12" s="1">
        <v>5439773</v>
      </c>
      <c r="CB12" s="1">
        <v>5439769</v>
      </c>
      <c r="CC12" s="1">
        <v>5439767</v>
      </c>
      <c r="CD12" s="1">
        <v>5439765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3410997</v>
      </c>
      <c r="CL12" s="1" t="s">
        <v>9</v>
      </c>
      <c r="CM12" s="1" t="s">
        <v>10</v>
      </c>
      <c r="CN12" s="1" t="s">
        <v>11</v>
      </c>
      <c r="CO12" s="1" t="s">
        <v>11</v>
      </c>
      <c r="CP12" s="1" t="s">
        <v>11</v>
      </c>
      <c r="CQ12" s="1" t="s">
        <v>11</v>
      </c>
      <c r="CR12" s="1" t="s">
        <v>3</v>
      </c>
      <c r="CS12" s="1">
        <v>0</v>
      </c>
      <c r="CT12" s="1">
        <v>0</v>
      </c>
      <c r="CU12" s="1">
        <v>0</v>
      </c>
      <c r="CV12" s="1">
        <v>5633627</v>
      </c>
      <c r="CW12" s="1">
        <v>7252965</v>
      </c>
      <c r="CX12" s="1">
        <v>7252966</v>
      </c>
      <c r="CY12" s="1">
        <v>0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B160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Монтаж подкрановых путей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1092982.73</v>
      </c>
      <c r="P18" s="2">
        <f t="shared" si="0"/>
        <v>829522.52</v>
      </c>
      <c r="Q18" s="2">
        <f t="shared" si="0"/>
        <v>151515.07</v>
      </c>
      <c r="R18" s="2">
        <f t="shared" si="0"/>
        <v>31808.34</v>
      </c>
      <c r="S18" s="2">
        <f t="shared" si="0"/>
        <v>111945.14</v>
      </c>
      <c r="T18" s="2">
        <f t="shared" si="0"/>
        <v>0</v>
      </c>
      <c r="U18" s="2">
        <f t="shared" si="0"/>
        <v>1544.14</v>
      </c>
      <c r="V18" s="2">
        <f t="shared" si="0"/>
        <v>334.65</v>
      </c>
      <c r="W18" s="2">
        <f t="shared" si="0"/>
        <v>0</v>
      </c>
      <c r="X18" s="2">
        <f t="shared" si="0"/>
        <v>147193.01</v>
      </c>
      <c r="Y18" s="2">
        <f t="shared" si="0"/>
        <v>92360.42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ROW(A134)</f>
        <v>134</v>
      </c>
      <c r="E20" s="1"/>
      <c r="F20" s="1" t="s">
        <v>12</v>
      </c>
      <c r="G20" s="1" t="s">
        <v>12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13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B134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1092982.73</v>
      </c>
      <c r="P22" s="2">
        <f t="shared" si="1"/>
        <v>829522.52</v>
      </c>
      <c r="Q22" s="2">
        <f t="shared" si="1"/>
        <v>151515.07</v>
      </c>
      <c r="R22" s="2">
        <f t="shared" si="1"/>
        <v>31808.34</v>
      </c>
      <c r="S22" s="2">
        <f t="shared" si="1"/>
        <v>111945.14</v>
      </c>
      <c r="T22" s="2">
        <f t="shared" si="1"/>
        <v>0</v>
      </c>
      <c r="U22" s="2">
        <f t="shared" si="1"/>
        <v>1544.14</v>
      </c>
      <c r="V22" s="2">
        <f t="shared" si="1"/>
        <v>334.65</v>
      </c>
      <c r="W22" s="2">
        <f t="shared" si="1"/>
        <v>0</v>
      </c>
      <c r="X22" s="2">
        <f t="shared" si="1"/>
        <v>147193.01</v>
      </c>
      <c r="Y22" s="2">
        <f t="shared" si="1"/>
        <v>92360.42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</row>
    <row r="23" ht="12.75">
      <c r="G23">
        <v>0</v>
      </c>
    </row>
    <row r="24" spans="1:59" ht="12.75">
      <c r="A24" s="1">
        <v>4</v>
      </c>
      <c r="B24" s="1">
        <v>1</v>
      </c>
      <c r="C24" s="1"/>
      <c r="D24" s="1">
        <f>ROW(A35)</f>
        <v>35</v>
      </c>
      <c r="E24" s="1"/>
      <c r="F24" s="1" t="s">
        <v>14</v>
      </c>
      <c r="G24" s="1" t="s">
        <v>15</v>
      </c>
      <c r="H24" s="1"/>
      <c r="I24" s="1"/>
      <c r="J24" s="1"/>
      <c r="K24" s="1"/>
      <c r="L24" s="1"/>
      <c r="M24" s="1"/>
      <c r="N24" s="1" t="s">
        <v>3</v>
      </c>
      <c r="O24" s="1"/>
      <c r="P24" s="1"/>
      <c r="Q24" s="1"/>
      <c r="R24" s="1" t="s">
        <v>3</v>
      </c>
      <c r="S24" s="1" t="s">
        <v>3</v>
      </c>
      <c r="T24" s="1" t="s">
        <v>3</v>
      </c>
      <c r="U24" s="1" t="s">
        <v>3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BE24" t="s">
        <v>16</v>
      </c>
      <c r="BF24">
        <v>0</v>
      </c>
      <c r="BG24">
        <v>0</v>
      </c>
    </row>
    <row r="26" spans="1:39" ht="12.75">
      <c r="A26" s="2">
        <v>52</v>
      </c>
      <c r="B26" s="2">
        <f aca="true" t="shared" si="2" ref="B26:AM26">B35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Подготовительные работы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36159.64</v>
      </c>
      <c r="P26" s="2">
        <f t="shared" si="2"/>
        <v>11772.59</v>
      </c>
      <c r="Q26" s="2">
        <f t="shared" si="2"/>
        <v>18598.22</v>
      </c>
      <c r="R26" s="2">
        <f t="shared" si="2"/>
        <v>2990.14</v>
      </c>
      <c r="S26" s="2">
        <f t="shared" si="2"/>
        <v>5788.83</v>
      </c>
      <c r="T26" s="2">
        <f t="shared" si="2"/>
        <v>0</v>
      </c>
      <c r="U26" s="2">
        <f t="shared" si="2"/>
        <v>80.92</v>
      </c>
      <c r="V26" s="2">
        <f t="shared" si="2"/>
        <v>34.02</v>
      </c>
      <c r="W26" s="2">
        <f t="shared" si="2"/>
        <v>0</v>
      </c>
      <c r="X26" s="2">
        <f t="shared" si="2"/>
        <v>10548.43</v>
      </c>
      <c r="Y26" s="2">
        <f t="shared" si="2"/>
        <v>7185.06</v>
      </c>
      <c r="Z26" s="2">
        <f t="shared" si="2"/>
        <v>0</v>
      </c>
      <c r="AA26" s="2">
        <f t="shared" si="2"/>
        <v>0</v>
      </c>
      <c r="AB26" s="2">
        <f t="shared" si="2"/>
        <v>36159.64</v>
      </c>
      <c r="AC26" s="2">
        <f t="shared" si="2"/>
        <v>11772.59</v>
      </c>
      <c r="AD26" s="2">
        <f t="shared" si="2"/>
        <v>18598.22</v>
      </c>
      <c r="AE26" s="2">
        <f t="shared" si="2"/>
        <v>2990.14</v>
      </c>
      <c r="AF26" s="2">
        <f t="shared" si="2"/>
        <v>5788.83</v>
      </c>
      <c r="AG26" s="2">
        <f t="shared" si="2"/>
        <v>0</v>
      </c>
      <c r="AH26" s="2">
        <f t="shared" si="2"/>
        <v>80.92</v>
      </c>
      <c r="AI26" s="2">
        <f t="shared" si="2"/>
        <v>34.02</v>
      </c>
      <c r="AJ26" s="2">
        <f t="shared" si="2"/>
        <v>0</v>
      </c>
      <c r="AK26" s="2">
        <f t="shared" si="2"/>
        <v>10548.43</v>
      </c>
      <c r="AL26" s="2">
        <f t="shared" si="2"/>
        <v>7185.06</v>
      </c>
      <c r="AM26" s="2">
        <f t="shared" si="2"/>
        <v>0</v>
      </c>
    </row>
    <row r="28" spans="1:144" ht="12.75">
      <c r="A28">
        <v>17</v>
      </c>
      <c r="B28">
        <v>1</v>
      </c>
      <c r="C28">
        <f>ROW(SmtRes!A6)</f>
        <v>6</v>
      </c>
      <c r="E28" t="s">
        <v>17</v>
      </c>
      <c r="F28" t="s">
        <v>18</v>
      </c>
      <c r="G28" t="s">
        <v>19</v>
      </c>
      <c r="H28" t="s">
        <v>20</v>
      </c>
      <c r="I28">
        <v>1.44</v>
      </c>
      <c r="J28">
        <v>0</v>
      </c>
      <c r="O28">
        <f aca="true" t="shared" si="3" ref="O28:O33">ROUND(CP28,2)</f>
        <v>14523.35</v>
      </c>
      <c r="P28">
        <f aca="true" t="shared" si="4" ref="P28:P33">ROUND(CQ28*I28,2)</f>
        <v>0</v>
      </c>
      <c r="Q28">
        <f aca="true" t="shared" si="5" ref="Q28:Q33">ROUND(CR28*I28,2)</f>
        <v>10619.17</v>
      </c>
      <c r="R28">
        <f aca="true" t="shared" si="6" ref="R28:R33">ROUND(CS28*I28,2)</f>
        <v>1846.45</v>
      </c>
      <c r="S28">
        <f aca="true" t="shared" si="7" ref="S28:S33">ROUND(CT28*I28,2)</f>
        <v>3904.18</v>
      </c>
      <c r="T28">
        <f aca="true" t="shared" si="8" ref="T28:T33">ROUND(CU28*I28,2)</f>
        <v>0</v>
      </c>
      <c r="U28">
        <f aca="true" t="shared" si="9" ref="U28:U33">ROUND(CV28*I28,2)</f>
        <v>55.09</v>
      </c>
      <c r="V28">
        <f aca="true" t="shared" si="10" ref="V28:V33">ROUND(CW28*I28,2)</f>
        <v>23.56</v>
      </c>
      <c r="W28">
        <f aca="true" t="shared" si="11" ref="W28:W33">ROUND(CX28*I28,2)</f>
        <v>0</v>
      </c>
      <c r="X28">
        <f aca="true" t="shared" si="12" ref="X28:Y33">ROUND(CY28,2)</f>
        <v>7675.94</v>
      </c>
      <c r="Y28">
        <f t="shared" si="12"/>
        <v>5463.1</v>
      </c>
      <c r="AA28">
        <v>0</v>
      </c>
      <c r="AB28">
        <f aca="true" t="shared" si="13" ref="AB28:AB33">(AC28+AD28+AF28)</f>
        <v>1957.67</v>
      </c>
      <c r="AC28">
        <f aca="true" t="shared" si="14" ref="AC28:AJ33">AL28</f>
        <v>0</v>
      </c>
      <c r="AD28">
        <f t="shared" si="14"/>
        <v>1642.41</v>
      </c>
      <c r="AE28">
        <f t="shared" si="14"/>
        <v>149.1</v>
      </c>
      <c r="AF28">
        <f t="shared" si="14"/>
        <v>315.26</v>
      </c>
      <c r="AG28">
        <f t="shared" si="14"/>
        <v>0</v>
      </c>
      <c r="AH28">
        <f t="shared" si="14"/>
        <v>38.26</v>
      </c>
      <c r="AI28">
        <f t="shared" si="14"/>
        <v>16.36</v>
      </c>
      <c r="AJ28">
        <f t="shared" si="14"/>
        <v>0</v>
      </c>
      <c r="AK28">
        <v>1957.67</v>
      </c>
      <c r="AL28">
        <v>0</v>
      </c>
      <c r="AM28">
        <v>1642.41</v>
      </c>
      <c r="AN28">
        <v>149.1</v>
      </c>
      <c r="AO28">
        <v>315.26</v>
      </c>
      <c r="AP28">
        <v>0</v>
      </c>
      <c r="AQ28">
        <v>38.26</v>
      </c>
      <c r="AR28">
        <v>16.36</v>
      </c>
      <c r="AS28">
        <v>0</v>
      </c>
      <c r="AT28">
        <v>133.48</v>
      </c>
      <c r="AU28">
        <v>95</v>
      </c>
      <c r="AV28">
        <v>1</v>
      </c>
      <c r="AW28">
        <v>1</v>
      </c>
      <c r="AX28">
        <v>1</v>
      </c>
      <c r="AY28">
        <v>1</v>
      </c>
      <c r="AZ28">
        <v>6.28</v>
      </c>
      <c r="BA28">
        <v>8.6</v>
      </c>
      <c r="BB28">
        <v>4.49</v>
      </c>
      <c r="BC28">
        <v>1</v>
      </c>
      <c r="BH28">
        <v>0</v>
      </c>
      <c r="BI28">
        <v>1</v>
      </c>
      <c r="BJ28" t="s">
        <v>21</v>
      </c>
      <c r="BM28">
        <v>30</v>
      </c>
      <c r="BN28">
        <v>0</v>
      </c>
      <c r="BO28" t="s">
        <v>18</v>
      </c>
      <c r="BP28">
        <v>1</v>
      </c>
      <c r="BQ28">
        <v>2</v>
      </c>
      <c r="BR28">
        <v>0</v>
      </c>
      <c r="BS28">
        <v>8.6</v>
      </c>
      <c r="BT28">
        <v>1</v>
      </c>
      <c r="BU28">
        <v>1</v>
      </c>
      <c r="BV28">
        <v>1</v>
      </c>
      <c r="BW28">
        <v>1</v>
      </c>
      <c r="BX28">
        <v>1</v>
      </c>
      <c r="CF28">
        <v>0</v>
      </c>
      <c r="CG28">
        <v>0</v>
      </c>
      <c r="CM28">
        <v>0</v>
      </c>
      <c r="CO28">
        <v>0</v>
      </c>
      <c r="CP28">
        <f aca="true" t="shared" si="15" ref="CP28:CP33">(P28+Q28+S28)</f>
        <v>14523.35</v>
      </c>
      <c r="CQ28">
        <f aca="true" t="shared" si="16" ref="CQ28:CQ33">(AC28)*BC28</f>
        <v>0</v>
      </c>
      <c r="CR28">
        <f aca="true" t="shared" si="17" ref="CR28:CR33">(AD28)*BB28</f>
        <v>7374.420900000001</v>
      </c>
      <c r="CS28">
        <f aca="true" t="shared" si="18" ref="CS28:CS33">(AE28)*BS28</f>
        <v>1282.26</v>
      </c>
      <c r="CT28">
        <f aca="true" t="shared" si="19" ref="CT28:CT33">(AF28)*BA28</f>
        <v>2711.236</v>
      </c>
      <c r="CU28">
        <f aca="true" t="shared" si="20" ref="CU28:CX33">(AG28)*BT28</f>
        <v>0</v>
      </c>
      <c r="CV28">
        <f t="shared" si="20"/>
        <v>38.26</v>
      </c>
      <c r="CW28">
        <f t="shared" si="20"/>
        <v>16.36</v>
      </c>
      <c r="CX28">
        <f t="shared" si="20"/>
        <v>0</v>
      </c>
      <c r="CY28">
        <f aca="true" t="shared" si="21" ref="CY28:CY33">(((S28+R28)*AT28)/100)</f>
        <v>7675.9409239999995</v>
      </c>
      <c r="CZ28">
        <f aca="true" t="shared" si="22" ref="CZ28:CZ33">(((S28+R28)*AU28)/100)</f>
        <v>5463.0985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1007</v>
      </c>
      <c r="DV28" t="s">
        <v>20</v>
      </c>
      <c r="DW28" t="s">
        <v>22</v>
      </c>
      <c r="DX28">
        <v>100</v>
      </c>
      <c r="EE28">
        <v>5677342</v>
      </c>
      <c r="EF28">
        <v>2</v>
      </c>
      <c r="EG28" t="s">
        <v>23</v>
      </c>
      <c r="EH28">
        <v>0</v>
      </c>
      <c r="EJ28">
        <v>1</v>
      </c>
      <c r="EK28">
        <v>30</v>
      </c>
      <c r="EL28" t="s">
        <v>24</v>
      </c>
      <c r="EM28" t="s">
        <v>25</v>
      </c>
    </row>
    <row r="29" spans="1:144" ht="12.75">
      <c r="A29">
        <v>17</v>
      </c>
      <c r="B29">
        <v>1</v>
      </c>
      <c r="C29">
        <f>ROW(SmtRes!A10)</f>
        <v>10</v>
      </c>
      <c r="E29" t="s">
        <v>26</v>
      </c>
      <c r="F29" t="s">
        <v>27</v>
      </c>
      <c r="G29" t="s">
        <v>28</v>
      </c>
      <c r="H29" t="s">
        <v>29</v>
      </c>
      <c r="I29">
        <v>0.3</v>
      </c>
      <c r="J29">
        <v>0</v>
      </c>
      <c r="O29">
        <f t="shared" si="3"/>
        <v>3392.52</v>
      </c>
      <c r="P29">
        <f t="shared" si="4"/>
        <v>0</v>
      </c>
      <c r="Q29">
        <f t="shared" si="5"/>
        <v>1870.91</v>
      </c>
      <c r="R29">
        <f t="shared" si="6"/>
        <v>243.96</v>
      </c>
      <c r="S29">
        <f t="shared" si="7"/>
        <v>1521.61</v>
      </c>
      <c r="T29">
        <f t="shared" si="8"/>
        <v>0</v>
      </c>
      <c r="U29">
        <f t="shared" si="9"/>
        <v>20.48</v>
      </c>
      <c r="V29">
        <f t="shared" si="10"/>
        <v>2.82</v>
      </c>
      <c r="W29">
        <f t="shared" si="11"/>
        <v>0</v>
      </c>
      <c r="X29">
        <f t="shared" si="12"/>
        <v>1726.02</v>
      </c>
      <c r="Y29">
        <f t="shared" si="12"/>
        <v>1059.34</v>
      </c>
      <c r="AA29">
        <v>0</v>
      </c>
      <c r="AB29">
        <f t="shared" si="13"/>
        <v>2000.71</v>
      </c>
      <c r="AC29">
        <f t="shared" si="14"/>
        <v>0</v>
      </c>
      <c r="AD29">
        <f t="shared" si="14"/>
        <v>1410.94</v>
      </c>
      <c r="AE29">
        <f t="shared" si="14"/>
        <v>94.56</v>
      </c>
      <c r="AF29">
        <f t="shared" si="14"/>
        <v>589.77</v>
      </c>
      <c r="AG29">
        <f t="shared" si="14"/>
        <v>0</v>
      </c>
      <c r="AH29">
        <f t="shared" si="14"/>
        <v>68.26</v>
      </c>
      <c r="AI29">
        <f t="shared" si="14"/>
        <v>9.4</v>
      </c>
      <c r="AJ29">
        <f t="shared" si="14"/>
        <v>0</v>
      </c>
      <c r="AK29">
        <v>2000.71</v>
      </c>
      <c r="AL29">
        <v>0</v>
      </c>
      <c r="AM29">
        <v>1410.94</v>
      </c>
      <c r="AN29">
        <v>94.56</v>
      </c>
      <c r="AO29">
        <v>589.77</v>
      </c>
      <c r="AP29">
        <v>0</v>
      </c>
      <c r="AQ29">
        <v>68.26</v>
      </c>
      <c r="AR29">
        <v>9.4</v>
      </c>
      <c r="AS29">
        <v>0</v>
      </c>
      <c r="AT29">
        <v>97.76</v>
      </c>
      <c r="AU29">
        <v>60</v>
      </c>
      <c r="AV29">
        <v>1</v>
      </c>
      <c r="AW29">
        <v>1</v>
      </c>
      <c r="AX29">
        <v>1</v>
      </c>
      <c r="AY29">
        <v>1</v>
      </c>
      <c r="AZ29">
        <v>6.6</v>
      </c>
      <c r="BA29">
        <v>8.6</v>
      </c>
      <c r="BB29">
        <v>4.42</v>
      </c>
      <c r="BC29">
        <v>1</v>
      </c>
      <c r="BH29">
        <v>0</v>
      </c>
      <c r="BI29">
        <v>1</v>
      </c>
      <c r="BJ29" t="s">
        <v>30</v>
      </c>
      <c r="BM29">
        <v>230</v>
      </c>
      <c r="BN29">
        <v>0</v>
      </c>
      <c r="BO29" t="s">
        <v>27</v>
      </c>
      <c r="BP29">
        <v>1</v>
      </c>
      <c r="BQ29">
        <v>6</v>
      </c>
      <c r="BR29">
        <v>0</v>
      </c>
      <c r="BS29">
        <v>8.6</v>
      </c>
      <c r="BT29">
        <v>1</v>
      </c>
      <c r="BU29">
        <v>1</v>
      </c>
      <c r="BV29">
        <v>1</v>
      </c>
      <c r="BW29">
        <v>1</v>
      </c>
      <c r="BX29">
        <v>1</v>
      </c>
      <c r="CF29">
        <v>0</v>
      </c>
      <c r="CG29">
        <v>0</v>
      </c>
      <c r="CM29">
        <v>0</v>
      </c>
      <c r="CO29">
        <v>0</v>
      </c>
      <c r="CP29">
        <f t="shared" si="15"/>
        <v>3392.52</v>
      </c>
      <c r="CQ29">
        <f t="shared" si="16"/>
        <v>0</v>
      </c>
      <c r="CR29">
        <f t="shared" si="17"/>
        <v>6236.3548</v>
      </c>
      <c r="CS29">
        <f t="shared" si="18"/>
        <v>813.216</v>
      </c>
      <c r="CT29">
        <f t="shared" si="19"/>
        <v>5072.022</v>
      </c>
      <c r="CU29">
        <f t="shared" si="20"/>
        <v>0</v>
      </c>
      <c r="CV29">
        <f t="shared" si="20"/>
        <v>68.26</v>
      </c>
      <c r="CW29">
        <f t="shared" si="20"/>
        <v>9.4</v>
      </c>
      <c r="CX29">
        <f t="shared" si="20"/>
        <v>0</v>
      </c>
      <c r="CY29">
        <f t="shared" si="21"/>
        <v>1726.021232</v>
      </c>
      <c r="CZ29">
        <f t="shared" si="22"/>
        <v>1059.3419999999999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1003</v>
      </c>
      <c r="DV29" t="s">
        <v>29</v>
      </c>
      <c r="DW29" t="s">
        <v>29</v>
      </c>
      <c r="DX29">
        <v>100</v>
      </c>
      <c r="EE29">
        <v>5677399</v>
      </c>
      <c r="EF29">
        <v>6</v>
      </c>
      <c r="EG29" t="s">
        <v>31</v>
      </c>
      <c r="EH29">
        <v>0</v>
      </c>
      <c r="EJ29">
        <v>1</v>
      </c>
      <c r="EK29">
        <v>230</v>
      </c>
      <c r="EL29" t="s">
        <v>32</v>
      </c>
      <c r="EM29" t="s">
        <v>33</v>
      </c>
    </row>
    <row r="30" spans="1:144" ht="12.75">
      <c r="A30">
        <v>17</v>
      </c>
      <c r="B30">
        <v>1</v>
      </c>
      <c r="C30">
        <f>ROW(SmtRes!A11)</f>
        <v>11</v>
      </c>
      <c r="E30" t="s">
        <v>34</v>
      </c>
      <c r="F30" t="s">
        <v>35</v>
      </c>
      <c r="G30" t="s">
        <v>36</v>
      </c>
      <c r="H30" t="s">
        <v>37</v>
      </c>
      <c r="I30">
        <v>0.01</v>
      </c>
      <c r="J30">
        <v>0</v>
      </c>
      <c r="O30">
        <f t="shared" si="3"/>
        <v>128.79</v>
      </c>
      <c r="P30">
        <f t="shared" si="4"/>
        <v>0</v>
      </c>
      <c r="Q30">
        <f t="shared" si="5"/>
        <v>0</v>
      </c>
      <c r="R30">
        <f t="shared" si="6"/>
        <v>0</v>
      </c>
      <c r="S30">
        <f t="shared" si="7"/>
        <v>128.79</v>
      </c>
      <c r="T30">
        <f t="shared" si="8"/>
        <v>0</v>
      </c>
      <c r="U30">
        <f t="shared" si="9"/>
        <v>1.92</v>
      </c>
      <c r="V30">
        <f t="shared" si="10"/>
        <v>0</v>
      </c>
      <c r="W30">
        <f t="shared" si="11"/>
        <v>0</v>
      </c>
      <c r="X30">
        <f t="shared" si="12"/>
        <v>96.85</v>
      </c>
      <c r="Y30">
        <f t="shared" si="12"/>
        <v>57.96</v>
      </c>
      <c r="AA30">
        <v>0</v>
      </c>
      <c r="AB30">
        <f t="shared" si="13"/>
        <v>1497.6</v>
      </c>
      <c r="AC30">
        <f t="shared" si="14"/>
        <v>0</v>
      </c>
      <c r="AD30">
        <f t="shared" si="14"/>
        <v>0</v>
      </c>
      <c r="AE30">
        <f t="shared" si="14"/>
        <v>0</v>
      </c>
      <c r="AF30">
        <f t="shared" si="14"/>
        <v>1497.6</v>
      </c>
      <c r="AG30">
        <f t="shared" si="14"/>
        <v>0</v>
      </c>
      <c r="AH30">
        <f t="shared" si="14"/>
        <v>192</v>
      </c>
      <c r="AI30">
        <f t="shared" si="14"/>
        <v>0</v>
      </c>
      <c r="AJ30">
        <f t="shared" si="14"/>
        <v>0</v>
      </c>
      <c r="AK30">
        <v>1497.6</v>
      </c>
      <c r="AL30">
        <v>0</v>
      </c>
      <c r="AM30">
        <v>0</v>
      </c>
      <c r="AN30">
        <v>0</v>
      </c>
      <c r="AO30">
        <v>1497.6</v>
      </c>
      <c r="AP30">
        <v>0</v>
      </c>
      <c r="AQ30">
        <v>192</v>
      </c>
      <c r="AR30">
        <v>0</v>
      </c>
      <c r="AS30">
        <v>0</v>
      </c>
      <c r="AT30">
        <v>75.2</v>
      </c>
      <c r="AU30">
        <v>45</v>
      </c>
      <c r="AV30">
        <v>1</v>
      </c>
      <c r="AW30">
        <v>1</v>
      </c>
      <c r="AX30">
        <v>1</v>
      </c>
      <c r="AY30">
        <v>1</v>
      </c>
      <c r="AZ30">
        <v>8.42</v>
      </c>
      <c r="BA30">
        <v>8.6</v>
      </c>
      <c r="BB30">
        <v>1</v>
      </c>
      <c r="BC30">
        <v>1</v>
      </c>
      <c r="BH30">
        <v>0</v>
      </c>
      <c r="BI30">
        <v>1</v>
      </c>
      <c r="BJ30" t="s">
        <v>38</v>
      </c>
      <c r="BM30">
        <v>200</v>
      </c>
      <c r="BN30">
        <v>0</v>
      </c>
      <c r="BO30" t="s">
        <v>35</v>
      </c>
      <c r="BP30">
        <v>1</v>
      </c>
      <c r="BQ30">
        <v>2</v>
      </c>
      <c r="BR30">
        <v>0</v>
      </c>
      <c r="BS30">
        <v>8.6</v>
      </c>
      <c r="BT30">
        <v>1</v>
      </c>
      <c r="BU30">
        <v>1</v>
      </c>
      <c r="BV30">
        <v>1</v>
      </c>
      <c r="BW30">
        <v>1</v>
      </c>
      <c r="BX30">
        <v>1</v>
      </c>
      <c r="CF30">
        <v>0</v>
      </c>
      <c r="CG30">
        <v>0</v>
      </c>
      <c r="CM30">
        <v>0</v>
      </c>
      <c r="CO30">
        <v>0</v>
      </c>
      <c r="CP30">
        <f t="shared" si="15"/>
        <v>128.79</v>
      </c>
      <c r="CQ30">
        <f t="shared" si="16"/>
        <v>0</v>
      </c>
      <c r="CR30">
        <f t="shared" si="17"/>
        <v>0</v>
      </c>
      <c r="CS30">
        <f t="shared" si="18"/>
        <v>0</v>
      </c>
      <c r="CT30">
        <f t="shared" si="19"/>
        <v>12879.359999999999</v>
      </c>
      <c r="CU30">
        <f t="shared" si="20"/>
        <v>0</v>
      </c>
      <c r="CV30">
        <f t="shared" si="20"/>
        <v>192</v>
      </c>
      <c r="CW30">
        <f t="shared" si="20"/>
        <v>0</v>
      </c>
      <c r="CX30">
        <f t="shared" si="20"/>
        <v>0</v>
      </c>
      <c r="CY30">
        <f t="shared" si="21"/>
        <v>96.85007999999999</v>
      </c>
      <c r="CZ30">
        <f t="shared" si="22"/>
        <v>57.955499999999994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1010</v>
      </c>
      <c r="DV30" t="s">
        <v>37</v>
      </c>
      <c r="DW30" t="s">
        <v>39</v>
      </c>
      <c r="DX30">
        <v>100</v>
      </c>
      <c r="EE30">
        <v>5677376</v>
      </c>
      <c r="EF30">
        <v>2</v>
      </c>
      <c r="EG30" t="s">
        <v>23</v>
      </c>
      <c r="EH30">
        <v>0</v>
      </c>
      <c r="EJ30">
        <v>1</v>
      </c>
      <c r="EK30">
        <v>200</v>
      </c>
      <c r="EL30" t="s">
        <v>40</v>
      </c>
      <c r="EM30" t="s">
        <v>41</v>
      </c>
    </row>
    <row r="31" spans="1:144" ht="12.75">
      <c r="A31">
        <v>17</v>
      </c>
      <c r="B31">
        <v>1</v>
      </c>
      <c r="C31">
        <f>ROW(SmtRes!A18)</f>
        <v>18</v>
      </c>
      <c r="E31" t="s">
        <v>42</v>
      </c>
      <c r="F31" t="s">
        <v>43</v>
      </c>
      <c r="G31" t="s">
        <v>44</v>
      </c>
      <c r="H31" t="s">
        <v>20</v>
      </c>
      <c r="I31">
        <v>0.0168</v>
      </c>
      <c r="J31">
        <v>0</v>
      </c>
      <c r="O31">
        <f t="shared" si="3"/>
        <v>11917.73</v>
      </c>
      <c r="P31">
        <f t="shared" si="4"/>
        <v>11765.67</v>
      </c>
      <c r="Q31">
        <f t="shared" si="5"/>
        <v>90.03</v>
      </c>
      <c r="R31">
        <f t="shared" si="6"/>
        <v>21.67</v>
      </c>
      <c r="S31">
        <f t="shared" si="7"/>
        <v>62.03</v>
      </c>
      <c r="T31">
        <f t="shared" si="8"/>
        <v>0</v>
      </c>
      <c r="U31">
        <f t="shared" si="9"/>
        <v>0.86</v>
      </c>
      <c r="V31">
        <f t="shared" si="10"/>
        <v>0.19</v>
      </c>
      <c r="W31">
        <f t="shared" si="11"/>
        <v>0</v>
      </c>
      <c r="X31">
        <f t="shared" si="12"/>
        <v>111.72</v>
      </c>
      <c r="Y31">
        <f t="shared" si="12"/>
        <v>79.52</v>
      </c>
      <c r="AA31">
        <v>0</v>
      </c>
      <c r="AB31">
        <f t="shared" si="13"/>
        <v>98146.58</v>
      </c>
      <c r="AC31">
        <f t="shared" si="14"/>
        <v>96465.21</v>
      </c>
      <c r="AD31">
        <f t="shared" si="14"/>
        <v>1252.06</v>
      </c>
      <c r="AE31">
        <f t="shared" si="14"/>
        <v>149.98</v>
      </c>
      <c r="AF31">
        <f t="shared" si="14"/>
        <v>429.31</v>
      </c>
      <c r="AG31">
        <f t="shared" si="14"/>
        <v>0</v>
      </c>
      <c r="AH31">
        <f t="shared" si="14"/>
        <v>51.23</v>
      </c>
      <c r="AI31">
        <f t="shared" si="14"/>
        <v>11.13</v>
      </c>
      <c r="AJ31">
        <f t="shared" si="14"/>
        <v>0</v>
      </c>
      <c r="AK31">
        <v>98146.58</v>
      </c>
      <c r="AL31">
        <v>96465.21</v>
      </c>
      <c r="AM31">
        <v>1252.06</v>
      </c>
      <c r="AN31">
        <v>149.98</v>
      </c>
      <c r="AO31">
        <v>429.31</v>
      </c>
      <c r="AP31">
        <v>0</v>
      </c>
      <c r="AQ31">
        <v>51.23</v>
      </c>
      <c r="AR31">
        <v>11.13</v>
      </c>
      <c r="AS31">
        <v>0</v>
      </c>
      <c r="AT31">
        <v>133.48</v>
      </c>
      <c r="AU31">
        <v>95</v>
      </c>
      <c r="AV31">
        <v>1</v>
      </c>
      <c r="AW31">
        <v>1</v>
      </c>
      <c r="AX31">
        <v>1</v>
      </c>
      <c r="AY31">
        <v>1</v>
      </c>
      <c r="AZ31">
        <v>7.24</v>
      </c>
      <c r="BA31">
        <v>8.6</v>
      </c>
      <c r="BB31">
        <v>4.28</v>
      </c>
      <c r="BC31">
        <v>7.26</v>
      </c>
      <c r="BH31">
        <v>0</v>
      </c>
      <c r="BI31">
        <v>1</v>
      </c>
      <c r="BJ31" t="s">
        <v>45</v>
      </c>
      <c r="BM31">
        <v>30</v>
      </c>
      <c r="BN31">
        <v>0</v>
      </c>
      <c r="BO31" t="s">
        <v>43</v>
      </c>
      <c r="BP31">
        <v>1</v>
      </c>
      <c r="BQ31">
        <v>2</v>
      </c>
      <c r="BR31">
        <v>0</v>
      </c>
      <c r="BS31">
        <v>8.6</v>
      </c>
      <c r="BT31">
        <v>1</v>
      </c>
      <c r="BU31">
        <v>1</v>
      </c>
      <c r="BV31">
        <v>1</v>
      </c>
      <c r="BW31">
        <v>1</v>
      </c>
      <c r="BX31">
        <v>1</v>
      </c>
      <c r="CF31">
        <v>0</v>
      </c>
      <c r="CG31">
        <v>0</v>
      </c>
      <c r="CM31">
        <v>0</v>
      </c>
      <c r="CO31">
        <v>0</v>
      </c>
      <c r="CP31">
        <f t="shared" si="15"/>
        <v>11917.730000000001</v>
      </c>
      <c r="CQ31">
        <f t="shared" si="16"/>
        <v>700337.4246</v>
      </c>
      <c r="CR31">
        <f t="shared" si="17"/>
        <v>5358.8168000000005</v>
      </c>
      <c r="CS31">
        <f t="shared" si="18"/>
        <v>1289.8279999999997</v>
      </c>
      <c r="CT31">
        <f t="shared" si="19"/>
        <v>3692.066</v>
      </c>
      <c r="CU31">
        <f t="shared" si="20"/>
        <v>0</v>
      </c>
      <c r="CV31">
        <f t="shared" si="20"/>
        <v>51.23</v>
      </c>
      <c r="CW31">
        <f t="shared" si="20"/>
        <v>11.13</v>
      </c>
      <c r="CX31">
        <f t="shared" si="20"/>
        <v>0</v>
      </c>
      <c r="CY31">
        <f t="shared" si="21"/>
        <v>111.72276</v>
      </c>
      <c r="CZ31">
        <f t="shared" si="22"/>
        <v>79.515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1007</v>
      </c>
      <c r="DV31" t="s">
        <v>20</v>
      </c>
      <c r="DW31" t="s">
        <v>22</v>
      </c>
      <c r="DX31">
        <v>100</v>
      </c>
      <c r="EE31">
        <v>5677342</v>
      </c>
      <c r="EF31">
        <v>2</v>
      </c>
      <c r="EG31" t="s">
        <v>23</v>
      </c>
      <c r="EH31">
        <v>0</v>
      </c>
      <c r="EJ31">
        <v>1</v>
      </c>
      <c r="EK31">
        <v>30</v>
      </c>
      <c r="EL31" t="s">
        <v>24</v>
      </c>
      <c r="EM31" t="s">
        <v>25</v>
      </c>
    </row>
    <row r="32" spans="1:144" ht="12.75">
      <c r="A32">
        <v>17</v>
      </c>
      <c r="B32">
        <v>1</v>
      </c>
      <c r="C32">
        <f>ROW(SmtRes!A23)</f>
        <v>23</v>
      </c>
      <c r="E32" t="s">
        <v>46</v>
      </c>
      <c r="F32" t="s">
        <v>47</v>
      </c>
      <c r="G32" t="s">
        <v>48</v>
      </c>
      <c r="H32" t="s">
        <v>49</v>
      </c>
      <c r="I32">
        <v>0.225</v>
      </c>
      <c r="J32">
        <v>0</v>
      </c>
      <c r="O32">
        <f t="shared" si="3"/>
        <v>4079.1</v>
      </c>
      <c r="P32">
        <f t="shared" si="4"/>
        <v>6.92</v>
      </c>
      <c r="Q32">
        <f t="shared" si="5"/>
        <v>3899.96</v>
      </c>
      <c r="R32">
        <f t="shared" si="6"/>
        <v>878.06</v>
      </c>
      <c r="S32">
        <f t="shared" si="7"/>
        <v>172.22</v>
      </c>
      <c r="T32">
        <f t="shared" si="8"/>
        <v>0</v>
      </c>
      <c r="U32">
        <f t="shared" si="9"/>
        <v>2.57</v>
      </c>
      <c r="V32">
        <f t="shared" si="10"/>
        <v>7.45</v>
      </c>
      <c r="W32">
        <f t="shared" si="11"/>
        <v>0</v>
      </c>
      <c r="X32">
        <f t="shared" si="12"/>
        <v>937.9</v>
      </c>
      <c r="Y32">
        <f t="shared" si="12"/>
        <v>525.14</v>
      </c>
      <c r="AA32">
        <v>0</v>
      </c>
      <c r="AB32">
        <f t="shared" si="13"/>
        <v>3894.4700000000003</v>
      </c>
      <c r="AC32">
        <f t="shared" si="14"/>
        <v>4.34</v>
      </c>
      <c r="AD32">
        <f t="shared" si="14"/>
        <v>3801.13</v>
      </c>
      <c r="AE32">
        <f t="shared" si="14"/>
        <v>453.78</v>
      </c>
      <c r="AF32">
        <f t="shared" si="14"/>
        <v>89</v>
      </c>
      <c r="AG32">
        <f t="shared" si="14"/>
        <v>0</v>
      </c>
      <c r="AH32">
        <f t="shared" si="14"/>
        <v>11.41</v>
      </c>
      <c r="AI32">
        <f t="shared" si="14"/>
        <v>33.09</v>
      </c>
      <c r="AJ32">
        <f t="shared" si="14"/>
        <v>0</v>
      </c>
      <c r="AK32">
        <v>3894.47</v>
      </c>
      <c r="AL32">
        <v>4.34</v>
      </c>
      <c r="AM32">
        <v>3801.13</v>
      </c>
      <c r="AN32">
        <v>453.78</v>
      </c>
      <c r="AO32">
        <v>89</v>
      </c>
      <c r="AP32">
        <v>0</v>
      </c>
      <c r="AQ32">
        <v>11.41</v>
      </c>
      <c r="AR32">
        <v>33.09</v>
      </c>
      <c r="AS32">
        <v>0</v>
      </c>
      <c r="AT32">
        <v>89.3</v>
      </c>
      <c r="AU32">
        <v>50</v>
      </c>
      <c r="AV32">
        <v>1</v>
      </c>
      <c r="AW32">
        <v>1</v>
      </c>
      <c r="AX32">
        <v>1</v>
      </c>
      <c r="AY32">
        <v>1</v>
      </c>
      <c r="AZ32">
        <v>5.26</v>
      </c>
      <c r="BA32">
        <v>8.6</v>
      </c>
      <c r="BB32">
        <v>4.56</v>
      </c>
      <c r="BC32">
        <v>7.09</v>
      </c>
      <c r="BH32">
        <v>0</v>
      </c>
      <c r="BI32">
        <v>1</v>
      </c>
      <c r="BJ32" t="s">
        <v>50</v>
      </c>
      <c r="BM32">
        <v>1</v>
      </c>
      <c r="BN32">
        <v>0</v>
      </c>
      <c r="BO32" t="s">
        <v>47</v>
      </c>
      <c r="BP32">
        <v>1</v>
      </c>
      <c r="BQ32">
        <v>2</v>
      </c>
      <c r="BR32">
        <v>0</v>
      </c>
      <c r="BS32">
        <v>8.6</v>
      </c>
      <c r="BT32">
        <v>1</v>
      </c>
      <c r="BU32">
        <v>1</v>
      </c>
      <c r="BV32">
        <v>1</v>
      </c>
      <c r="BW32">
        <v>1</v>
      </c>
      <c r="BX32">
        <v>1</v>
      </c>
      <c r="CF32">
        <v>0</v>
      </c>
      <c r="CG32">
        <v>0</v>
      </c>
      <c r="CM32">
        <v>0</v>
      </c>
      <c r="CO32">
        <v>0</v>
      </c>
      <c r="CP32">
        <f t="shared" si="15"/>
        <v>4079.1</v>
      </c>
      <c r="CQ32">
        <f t="shared" si="16"/>
        <v>30.770599999999998</v>
      </c>
      <c r="CR32">
        <f t="shared" si="17"/>
        <v>17333.1528</v>
      </c>
      <c r="CS32">
        <f t="shared" si="18"/>
        <v>3902.508</v>
      </c>
      <c r="CT32">
        <f t="shared" si="19"/>
        <v>765.4</v>
      </c>
      <c r="CU32">
        <f t="shared" si="20"/>
        <v>0</v>
      </c>
      <c r="CV32">
        <f t="shared" si="20"/>
        <v>11.41</v>
      </c>
      <c r="CW32">
        <f t="shared" si="20"/>
        <v>33.09</v>
      </c>
      <c r="CX32">
        <f t="shared" si="20"/>
        <v>0</v>
      </c>
      <c r="CY32">
        <f t="shared" si="21"/>
        <v>937.90004</v>
      </c>
      <c r="CZ32">
        <f t="shared" si="22"/>
        <v>525.14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1007</v>
      </c>
      <c r="DV32" t="s">
        <v>49</v>
      </c>
      <c r="DW32" t="s">
        <v>51</v>
      </c>
      <c r="DX32">
        <v>1000</v>
      </c>
      <c r="EE32">
        <v>5677315</v>
      </c>
      <c r="EF32">
        <v>2</v>
      </c>
      <c r="EG32" t="s">
        <v>23</v>
      </c>
      <c r="EH32">
        <v>0</v>
      </c>
      <c r="EJ32">
        <v>1</v>
      </c>
      <c r="EK32">
        <v>1</v>
      </c>
      <c r="EL32" t="s">
        <v>52</v>
      </c>
      <c r="EM32" t="s">
        <v>53</v>
      </c>
    </row>
    <row r="33" spans="1:144" ht="12.75">
      <c r="A33">
        <v>17</v>
      </c>
      <c r="B33">
        <v>1</v>
      </c>
      <c r="E33" t="s">
        <v>54</v>
      </c>
      <c r="F33" t="s">
        <v>55</v>
      </c>
      <c r="G33" t="s">
        <v>56</v>
      </c>
      <c r="H33" t="s">
        <v>57</v>
      </c>
      <c r="I33">
        <v>405</v>
      </c>
      <c r="J33">
        <v>0</v>
      </c>
      <c r="O33">
        <f t="shared" si="3"/>
        <v>2118.15</v>
      </c>
      <c r="P33">
        <f t="shared" si="4"/>
        <v>0</v>
      </c>
      <c r="Q33">
        <f t="shared" si="5"/>
        <v>2118.15</v>
      </c>
      <c r="R33">
        <f t="shared" si="6"/>
        <v>0</v>
      </c>
      <c r="S33">
        <f t="shared" si="7"/>
        <v>0</v>
      </c>
      <c r="T33">
        <f t="shared" si="8"/>
        <v>0</v>
      </c>
      <c r="U33">
        <f t="shared" si="9"/>
        <v>0</v>
      </c>
      <c r="V33">
        <f t="shared" si="10"/>
        <v>0</v>
      </c>
      <c r="W33">
        <f t="shared" si="11"/>
        <v>0</v>
      </c>
      <c r="X33">
        <f t="shared" si="12"/>
        <v>0</v>
      </c>
      <c r="Y33">
        <f t="shared" si="12"/>
        <v>0</v>
      </c>
      <c r="AA33">
        <v>0</v>
      </c>
      <c r="AB33">
        <f t="shared" si="13"/>
        <v>5.23</v>
      </c>
      <c r="AC33">
        <f t="shared" si="14"/>
        <v>0</v>
      </c>
      <c r="AD33">
        <f t="shared" si="14"/>
        <v>5.23</v>
      </c>
      <c r="AE33">
        <f t="shared" si="14"/>
        <v>0</v>
      </c>
      <c r="AF33">
        <f t="shared" si="14"/>
        <v>0</v>
      </c>
      <c r="AG33">
        <f t="shared" si="14"/>
        <v>0</v>
      </c>
      <c r="AH33">
        <f t="shared" si="14"/>
        <v>0</v>
      </c>
      <c r="AI33">
        <f t="shared" si="14"/>
        <v>0</v>
      </c>
      <c r="AJ33">
        <f t="shared" si="14"/>
        <v>0</v>
      </c>
      <c r="AK33">
        <v>5.23</v>
      </c>
      <c r="AL33">
        <v>0</v>
      </c>
      <c r="AM33">
        <v>5.23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112</v>
      </c>
      <c r="AU33">
        <v>65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H33">
        <v>0</v>
      </c>
      <c r="BI33">
        <v>4</v>
      </c>
      <c r="BM33">
        <v>0</v>
      </c>
      <c r="BN33">
        <v>0</v>
      </c>
      <c r="BP33">
        <v>0</v>
      </c>
      <c r="BQ33">
        <v>1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CF33">
        <v>0</v>
      </c>
      <c r="CG33">
        <v>0</v>
      </c>
      <c r="CM33">
        <v>0</v>
      </c>
      <c r="CO33">
        <v>0</v>
      </c>
      <c r="CP33">
        <f t="shared" si="15"/>
        <v>2118.15</v>
      </c>
      <c r="CQ33">
        <f t="shared" si="16"/>
        <v>0</v>
      </c>
      <c r="CR33">
        <f t="shared" si="17"/>
        <v>5.23</v>
      </c>
      <c r="CS33">
        <f t="shared" si="18"/>
        <v>0</v>
      </c>
      <c r="CT33">
        <f t="shared" si="19"/>
        <v>0</v>
      </c>
      <c r="CU33">
        <f t="shared" si="20"/>
        <v>0</v>
      </c>
      <c r="CV33">
        <f t="shared" si="20"/>
        <v>0</v>
      </c>
      <c r="CW33">
        <f t="shared" si="20"/>
        <v>0</v>
      </c>
      <c r="CX33">
        <f t="shared" si="20"/>
        <v>0</v>
      </c>
      <c r="CY33">
        <f t="shared" si="21"/>
        <v>0</v>
      </c>
      <c r="CZ33">
        <f t="shared" si="22"/>
        <v>0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1009</v>
      </c>
      <c r="DV33" t="s">
        <v>57</v>
      </c>
      <c r="DW33" t="s">
        <v>57</v>
      </c>
      <c r="DX33">
        <v>1000</v>
      </c>
      <c r="EE33">
        <v>5677314</v>
      </c>
      <c r="EF33">
        <v>1</v>
      </c>
      <c r="EG33" t="s">
        <v>58</v>
      </c>
      <c r="EH33">
        <v>0</v>
      </c>
      <c r="EJ33">
        <v>4</v>
      </c>
      <c r="EK33">
        <v>0</v>
      </c>
      <c r="EL33" t="s">
        <v>58</v>
      </c>
      <c r="EM33" t="s">
        <v>59</v>
      </c>
    </row>
    <row r="35" spans="1:39" ht="12.75">
      <c r="A35" s="2">
        <v>51</v>
      </c>
      <c r="B35" s="2">
        <f>B24</f>
        <v>1</v>
      </c>
      <c r="C35" s="2">
        <f>A24</f>
        <v>4</v>
      </c>
      <c r="D35" s="2">
        <f>ROW(A24)</f>
        <v>24</v>
      </c>
      <c r="E35" s="2"/>
      <c r="F35" s="2" t="str">
        <f>IF(F24&lt;&gt;"",F24,"")</f>
        <v>Новый раздел</v>
      </c>
      <c r="G35" s="2" t="str">
        <f>IF(G24&lt;&gt;"",G24,"")</f>
        <v>Подготовительные работы</v>
      </c>
      <c r="H35" s="2"/>
      <c r="I35" s="2"/>
      <c r="J35" s="2"/>
      <c r="K35" s="2"/>
      <c r="L35" s="2"/>
      <c r="M35" s="2"/>
      <c r="N35" s="2"/>
      <c r="O35" s="2">
        <f aca="true" t="shared" si="23" ref="O35:Y35">ROUND(AB35,2)</f>
        <v>36159.64</v>
      </c>
      <c r="P35" s="2">
        <f t="shared" si="23"/>
        <v>11772.59</v>
      </c>
      <c r="Q35" s="2">
        <f t="shared" si="23"/>
        <v>18598.22</v>
      </c>
      <c r="R35" s="2">
        <f t="shared" si="23"/>
        <v>2990.14</v>
      </c>
      <c r="S35" s="2">
        <f t="shared" si="23"/>
        <v>5788.83</v>
      </c>
      <c r="T35" s="2">
        <f t="shared" si="23"/>
        <v>0</v>
      </c>
      <c r="U35" s="2">
        <f t="shared" si="23"/>
        <v>80.92</v>
      </c>
      <c r="V35" s="2">
        <f t="shared" si="23"/>
        <v>34.02</v>
      </c>
      <c r="W35" s="2">
        <f t="shared" si="23"/>
        <v>0</v>
      </c>
      <c r="X35" s="2">
        <f t="shared" si="23"/>
        <v>10548.43</v>
      </c>
      <c r="Y35" s="2">
        <f t="shared" si="23"/>
        <v>7185.06</v>
      </c>
      <c r="Z35" s="2"/>
      <c r="AA35" s="2"/>
      <c r="AB35" s="2">
        <f>ROUND(SUMIF(AA28:AA33,"=0",O28:O33),2)</f>
        <v>36159.64</v>
      </c>
      <c r="AC35" s="2">
        <f>ROUND(SUMIF(AA28:AA33,"=0",P28:P33),2)</f>
        <v>11772.59</v>
      </c>
      <c r="AD35" s="2">
        <f>ROUND(SUMIF(AA28:AA33,"=0",Q28:Q33),2)</f>
        <v>18598.22</v>
      </c>
      <c r="AE35" s="2">
        <f>ROUND(SUMIF(AA28:AA33,"=0",R28:R33),2)</f>
        <v>2990.14</v>
      </c>
      <c r="AF35" s="2">
        <f>ROUND(SUMIF(AA28:AA33,"=0",S28:S33),2)</f>
        <v>5788.83</v>
      </c>
      <c r="AG35" s="2">
        <f>ROUND(SUMIF(AA28:AA33,"=0",T28:T33),2)</f>
        <v>0</v>
      </c>
      <c r="AH35" s="2">
        <f>ROUND(SUMIF(AA28:AA33,"=0",U28:U33),2)</f>
        <v>80.92</v>
      </c>
      <c r="AI35" s="2">
        <f>ROUND(SUMIF(AA28:AA33,"=0",V28:V33),2)</f>
        <v>34.02</v>
      </c>
      <c r="AJ35" s="2">
        <f>ROUND(SUMIF(AA28:AA33,"=0",W28:W33),2)</f>
        <v>0</v>
      </c>
      <c r="AK35" s="2">
        <f>ROUND(SUMIF(AA28:AA33,"=0",X28:X33),2)</f>
        <v>10548.43</v>
      </c>
      <c r="AL35" s="2">
        <f>ROUND(SUMIF(AA28:AA33,"=0",Y28:Y33),2)</f>
        <v>7185.06</v>
      </c>
      <c r="AM35" s="2">
        <v>0</v>
      </c>
    </row>
    <row r="37" spans="1:14" ht="12.75">
      <c r="A37" s="3">
        <v>50</v>
      </c>
      <c r="B37" s="3">
        <v>0</v>
      </c>
      <c r="C37" s="3">
        <v>0</v>
      </c>
      <c r="D37" s="3">
        <v>1</v>
      </c>
      <c r="E37" s="3">
        <v>0</v>
      </c>
      <c r="F37" s="3">
        <f>Source!O35</f>
        <v>36159.64</v>
      </c>
      <c r="G37" s="3" t="s">
        <v>60</v>
      </c>
      <c r="H37" s="3" t="s">
        <v>61</v>
      </c>
      <c r="I37" s="3"/>
      <c r="J37" s="3"/>
      <c r="K37" s="3">
        <v>201</v>
      </c>
      <c r="L37" s="3">
        <v>1</v>
      </c>
      <c r="M37" s="3">
        <v>3</v>
      </c>
      <c r="N37" s="3" t="s">
        <v>3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202</v>
      </c>
      <c r="F38" s="3">
        <f>Source!P35</f>
        <v>11772.59</v>
      </c>
      <c r="G38" s="3" t="s">
        <v>62</v>
      </c>
      <c r="H38" s="3" t="s">
        <v>63</v>
      </c>
      <c r="I38" s="3"/>
      <c r="J38" s="3"/>
      <c r="K38" s="3">
        <v>202</v>
      </c>
      <c r="L38" s="3">
        <v>2</v>
      </c>
      <c r="M38" s="3">
        <v>3</v>
      </c>
      <c r="N38" s="3" t="s">
        <v>3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203</v>
      </c>
      <c r="F39" s="3">
        <f>Source!Q35</f>
        <v>18598.22</v>
      </c>
      <c r="G39" s="3" t="s">
        <v>64</v>
      </c>
      <c r="H39" s="3" t="s">
        <v>65</v>
      </c>
      <c r="I39" s="3"/>
      <c r="J39" s="3"/>
      <c r="K39" s="3">
        <v>203</v>
      </c>
      <c r="L39" s="3">
        <v>3</v>
      </c>
      <c r="M39" s="3">
        <v>3</v>
      </c>
      <c r="N39" s="3" t="s">
        <v>3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204</v>
      </c>
      <c r="F40" s="3">
        <f>Source!R35</f>
        <v>2990.14</v>
      </c>
      <c r="G40" s="3" t="s">
        <v>66</v>
      </c>
      <c r="H40" s="3" t="s">
        <v>67</v>
      </c>
      <c r="I40" s="3"/>
      <c r="J40" s="3"/>
      <c r="K40" s="3">
        <v>204</v>
      </c>
      <c r="L40" s="3">
        <v>4</v>
      </c>
      <c r="M40" s="3">
        <v>3</v>
      </c>
      <c r="N40" s="3" t="s">
        <v>3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0</v>
      </c>
      <c r="F41" s="3">
        <f>Source!S35</f>
        <v>5788.83</v>
      </c>
      <c r="G41" s="3" t="s">
        <v>68</v>
      </c>
      <c r="H41" s="3" t="s">
        <v>69</v>
      </c>
      <c r="I41" s="3"/>
      <c r="J41" s="3"/>
      <c r="K41" s="3">
        <v>205</v>
      </c>
      <c r="L41" s="3">
        <v>5</v>
      </c>
      <c r="M41" s="3">
        <v>3</v>
      </c>
      <c r="N41" s="3" t="s">
        <v>3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206</v>
      </c>
      <c r="F42" s="3">
        <f>Source!T35</f>
        <v>0</v>
      </c>
      <c r="G42" s="3" t="s">
        <v>70</v>
      </c>
      <c r="H42" s="3" t="s">
        <v>71</v>
      </c>
      <c r="I42" s="3"/>
      <c r="J42" s="3"/>
      <c r="K42" s="3">
        <v>206</v>
      </c>
      <c r="L42" s="3">
        <v>6</v>
      </c>
      <c r="M42" s="3">
        <v>3</v>
      </c>
      <c r="N42" s="3" t="s">
        <v>3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207</v>
      </c>
      <c r="F43" s="3">
        <f>Source!U35</f>
        <v>80.92</v>
      </c>
      <c r="G43" s="3" t="s">
        <v>72</v>
      </c>
      <c r="H43" s="3" t="s">
        <v>73</v>
      </c>
      <c r="I43" s="3"/>
      <c r="J43" s="3"/>
      <c r="K43" s="3">
        <v>207</v>
      </c>
      <c r="L43" s="3">
        <v>7</v>
      </c>
      <c r="M43" s="3">
        <v>3</v>
      </c>
      <c r="N43" s="3" t="s">
        <v>3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208</v>
      </c>
      <c r="F44" s="3">
        <f>Source!V35</f>
        <v>34.02</v>
      </c>
      <c r="G44" s="3" t="s">
        <v>74</v>
      </c>
      <c r="H44" s="3" t="s">
        <v>75</v>
      </c>
      <c r="I44" s="3"/>
      <c r="J44" s="3"/>
      <c r="K44" s="3">
        <v>208</v>
      </c>
      <c r="L44" s="3">
        <v>8</v>
      </c>
      <c r="M44" s="3">
        <v>3</v>
      </c>
      <c r="N44" s="3" t="s">
        <v>3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209</v>
      </c>
      <c r="F45" s="3">
        <f>Source!W35</f>
        <v>0</v>
      </c>
      <c r="G45" s="3" t="s">
        <v>76</v>
      </c>
      <c r="H45" s="3" t="s">
        <v>77</v>
      </c>
      <c r="I45" s="3"/>
      <c r="J45" s="3"/>
      <c r="K45" s="3">
        <v>209</v>
      </c>
      <c r="L45" s="3">
        <v>9</v>
      </c>
      <c r="M45" s="3">
        <v>3</v>
      </c>
      <c r="N45" s="3" t="s">
        <v>3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0</v>
      </c>
      <c r="F46" s="3">
        <f>Source!X35</f>
        <v>10548.43</v>
      </c>
      <c r="G46" s="3" t="s">
        <v>78</v>
      </c>
      <c r="H46" s="3" t="s">
        <v>79</v>
      </c>
      <c r="I46" s="3"/>
      <c r="J46" s="3"/>
      <c r="K46" s="3">
        <v>210</v>
      </c>
      <c r="L46" s="3">
        <v>10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0</v>
      </c>
      <c r="F47" s="3">
        <f>Source!Y35</f>
        <v>7185.06</v>
      </c>
      <c r="G47" s="3" t="s">
        <v>80</v>
      </c>
      <c r="H47" s="3" t="s">
        <v>81</v>
      </c>
      <c r="I47" s="3"/>
      <c r="J47" s="3"/>
      <c r="K47" s="3">
        <v>211</v>
      </c>
      <c r="L47" s="3">
        <v>11</v>
      </c>
      <c r="M47" s="3">
        <v>3</v>
      </c>
      <c r="N47" s="3" t="s">
        <v>3</v>
      </c>
    </row>
    <row r="48" spans="1:14" ht="12.75">
      <c r="A48" s="3">
        <v>50</v>
      </c>
      <c r="B48" s="3">
        <v>0</v>
      </c>
      <c r="C48" s="3">
        <v>0</v>
      </c>
      <c r="D48" s="3">
        <v>2</v>
      </c>
      <c r="E48" s="3">
        <v>201</v>
      </c>
      <c r="F48" s="3">
        <f>ROUND(Source!F37,2)</f>
        <v>36159.64</v>
      </c>
      <c r="G48" s="3" t="s">
        <v>82</v>
      </c>
      <c r="H48" s="3" t="s">
        <v>83</v>
      </c>
      <c r="I48" s="3"/>
      <c r="J48" s="3"/>
      <c r="K48" s="3">
        <v>212</v>
      </c>
      <c r="L48" s="3">
        <v>12</v>
      </c>
      <c r="M48" s="3">
        <v>3</v>
      </c>
      <c r="N48" s="3" t="s">
        <v>3</v>
      </c>
    </row>
    <row r="49" spans="1:14" ht="12.75">
      <c r="A49" s="3">
        <v>50</v>
      </c>
      <c r="B49" s="3">
        <v>0</v>
      </c>
      <c r="C49" s="3">
        <v>0</v>
      </c>
      <c r="D49" s="3">
        <v>2</v>
      </c>
      <c r="E49" s="3">
        <v>210</v>
      </c>
      <c r="F49" s="3">
        <f>ROUND(Source!F46,2)</f>
        <v>10548.43</v>
      </c>
      <c r="G49" s="3" t="s">
        <v>84</v>
      </c>
      <c r="H49" s="3" t="s">
        <v>85</v>
      </c>
      <c r="I49" s="3"/>
      <c r="J49" s="3"/>
      <c r="K49" s="3">
        <v>212</v>
      </c>
      <c r="L49" s="3">
        <v>13</v>
      </c>
      <c r="M49" s="3">
        <v>3</v>
      </c>
      <c r="N49" s="3" t="s">
        <v>3</v>
      </c>
    </row>
    <row r="50" spans="1:14" ht="12.75">
      <c r="A50" s="3">
        <v>50</v>
      </c>
      <c r="B50" s="3">
        <v>0</v>
      </c>
      <c r="C50" s="3">
        <v>0</v>
      </c>
      <c r="D50" s="3">
        <v>2</v>
      </c>
      <c r="E50" s="3">
        <v>211</v>
      </c>
      <c r="F50" s="3">
        <f>ROUND(Source!F47,2)</f>
        <v>7185.06</v>
      </c>
      <c r="G50" s="3" t="s">
        <v>86</v>
      </c>
      <c r="H50" s="3" t="s">
        <v>87</v>
      </c>
      <c r="I50" s="3"/>
      <c r="J50" s="3"/>
      <c r="K50" s="3">
        <v>212</v>
      </c>
      <c r="L50" s="3">
        <v>14</v>
      </c>
      <c r="M50" s="3">
        <v>3</v>
      </c>
      <c r="N50" s="3" t="s">
        <v>3</v>
      </c>
    </row>
    <row r="51" spans="1:14" ht="12.75">
      <c r="A51" s="3">
        <v>50</v>
      </c>
      <c r="B51" s="3">
        <v>1</v>
      </c>
      <c r="C51" s="3">
        <v>0</v>
      </c>
      <c r="D51" s="3">
        <v>2</v>
      </c>
      <c r="E51" s="3">
        <v>0</v>
      </c>
      <c r="F51" s="3">
        <f>ROUND(Source!F48+Source!F49+Source!F50,2)</f>
        <v>53893.13</v>
      </c>
      <c r="G51" s="3" t="s">
        <v>88</v>
      </c>
      <c r="H51" s="3" t="s">
        <v>89</v>
      </c>
      <c r="I51" s="3"/>
      <c r="J51" s="3"/>
      <c r="K51" s="3">
        <v>212</v>
      </c>
      <c r="L51" s="3">
        <v>15</v>
      </c>
      <c r="M51" s="3">
        <v>0</v>
      </c>
      <c r="N51" s="3" t="s">
        <v>3</v>
      </c>
    </row>
    <row r="52" spans="1:14" ht="12.75">
      <c r="A52" s="3">
        <v>50</v>
      </c>
      <c r="B52" s="3">
        <v>0</v>
      </c>
      <c r="C52" s="3">
        <v>0</v>
      </c>
      <c r="D52" s="3">
        <v>2</v>
      </c>
      <c r="E52" s="3">
        <v>0</v>
      </c>
      <c r="F52" s="3">
        <f>ROUND(Source!F43+Source!F44,2)</f>
        <v>114.94</v>
      </c>
      <c r="G52" s="3" t="s">
        <v>90</v>
      </c>
      <c r="H52" s="3" t="s">
        <v>91</v>
      </c>
      <c r="I52" s="3"/>
      <c r="J52" s="3"/>
      <c r="K52" s="3">
        <v>212</v>
      </c>
      <c r="L52" s="3">
        <v>16</v>
      </c>
      <c r="M52" s="3">
        <v>3</v>
      </c>
      <c r="N52" s="3" t="s">
        <v>3</v>
      </c>
    </row>
    <row r="53" spans="1:14" ht="12.75">
      <c r="A53" s="3">
        <v>50</v>
      </c>
      <c r="B53" s="3">
        <v>0</v>
      </c>
      <c r="C53" s="3">
        <v>0</v>
      </c>
      <c r="D53" s="3">
        <v>2</v>
      </c>
      <c r="E53" s="3">
        <v>205</v>
      </c>
      <c r="F53" s="3">
        <f>ROUND(Source!F41+Source!F40,2)</f>
        <v>8778.97</v>
      </c>
      <c r="G53" s="3" t="s">
        <v>92</v>
      </c>
      <c r="H53" s="3" t="s">
        <v>93</v>
      </c>
      <c r="I53" s="3"/>
      <c r="J53" s="3"/>
      <c r="K53" s="3">
        <v>212</v>
      </c>
      <c r="L53" s="3">
        <v>17</v>
      </c>
      <c r="M53" s="3">
        <v>3</v>
      </c>
      <c r="N53" s="3" t="s">
        <v>3</v>
      </c>
    </row>
    <row r="54" spans="1:14" ht="12.75">
      <c r="A54" s="3">
        <v>50</v>
      </c>
      <c r="B54" s="3">
        <f>IF(Source!F54&lt;&gt;0,1,0)</f>
        <v>1</v>
      </c>
      <c r="C54" s="3">
        <v>0</v>
      </c>
      <c r="D54" s="3">
        <v>2</v>
      </c>
      <c r="E54" s="3">
        <v>0</v>
      </c>
      <c r="F54" s="3">
        <f>ROUND(1.2,2)</f>
        <v>1.2</v>
      </c>
      <c r="G54" s="3" t="s">
        <v>94</v>
      </c>
      <c r="H54" s="3" t="s">
        <v>95</v>
      </c>
      <c r="I54" s="3"/>
      <c r="J54" s="3"/>
      <c r="K54" s="3">
        <v>212</v>
      </c>
      <c r="L54" s="3">
        <v>18</v>
      </c>
      <c r="M54" s="3">
        <v>1</v>
      </c>
      <c r="N54" s="3" t="s">
        <v>96</v>
      </c>
    </row>
    <row r="55" spans="1:14" ht="12.75">
      <c r="A55" s="3">
        <v>50</v>
      </c>
      <c r="B55" s="3">
        <f>IF(Source!F55&lt;&gt;0,1,0)</f>
        <v>1</v>
      </c>
      <c r="C55" s="3">
        <v>0</v>
      </c>
      <c r="D55" s="3">
        <v>2</v>
      </c>
      <c r="E55" s="3">
        <v>0</v>
      </c>
      <c r="F55" s="3">
        <f>ROUND(IF(Source!F54&gt;0,Source!F51*(Source!F54/100+1),0),2)</f>
        <v>54539.85</v>
      </c>
      <c r="G55" s="3" t="s">
        <v>97</v>
      </c>
      <c r="H55" s="3" t="s">
        <v>98</v>
      </c>
      <c r="I55" s="3"/>
      <c r="J55" s="3"/>
      <c r="K55" s="3">
        <v>212</v>
      </c>
      <c r="L55" s="3">
        <v>19</v>
      </c>
      <c r="M55" s="3">
        <v>1</v>
      </c>
      <c r="N55" s="3" t="s">
        <v>3</v>
      </c>
    </row>
    <row r="56" spans="1:14" ht="12.75">
      <c r="A56" s="3">
        <v>50</v>
      </c>
      <c r="B56" s="3">
        <f>IF(Source!F56&lt;&gt;0,1,0)</f>
        <v>0</v>
      </c>
      <c r="C56" s="3">
        <v>0</v>
      </c>
      <c r="D56" s="3">
        <v>2</v>
      </c>
      <c r="E56" s="3">
        <v>0</v>
      </c>
      <c r="F56" s="3">
        <v>0</v>
      </c>
      <c r="G56" s="3" t="s">
        <v>99</v>
      </c>
      <c r="H56" s="3" t="s">
        <v>100</v>
      </c>
      <c r="I56" s="3"/>
      <c r="J56" s="3"/>
      <c r="K56" s="3">
        <v>212</v>
      </c>
      <c r="L56" s="3">
        <v>20</v>
      </c>
      <c r="M56" s="3">
        <v>1</v>
      </c>
      <c r="N56" s="3" t="s">
        <v>101</v>
      </c>
    </row>
    <row r="57" spans="1:14" ht="12.75">
      <c r="A57" s="3">
        <v>50</v>
      </c>
      <c r="B57" s="3">
        <f>IF(Source!F57&lt;&gt;0,1,0)</f>
        <v>0</v>
      </c>
      <c r="C57" s="3">
        <v>0</v>
      </c>
      <c r="D57" s="3">
        <v>2</v>
      </c>
      <c r="E57" s="3">
        <v>0</v>
      </c>
      <c r="F57" s="3">
        <f>ROUND(IF(Source!F56&gt;0,IF(Source!F54&gt;0,Source!F55*(Source!F56/100+1),Source!F51*(Source!F56/100+1)),0),2)</f>
        <v>0</v>
      </c>
      <c r="G57" s="3" t="s">
        <v>102</v>
      </c>
      <c r="H57" s="3" t="s">
        <v>103</v>
      </c>
      <c r="I57" s="3"/>
      <c r="J57" s="3"/>
      <c r="K57" s="3">
        <v>212</v>
      </c>
      <c r="L57" s="3">
        <v>21</v>
      </c>
      <c r="M57" s="3">
        <v>1</v>
      </c>
      <c r="N57" s="3" t="s">
        <v>3</v>
      </c>
    </row>
    <row r="58" spans="1:14" ht="12.75">
      <c r="A58" s="3">
        <v>50</v>
      </c>
      <c r="B58" s="3">
        <v>1</v>
      </c>
      <c r="C58" s="3">
        <v>0</v>
      </c>
      <c r="D58" s="3">
        <v>2</v>
      </c>
      <c r="E58" s="3">
        <v>0</v>
      </c>
      <c r="F58" s="3">
        <f>ROUND(IF(Source!F57&gt;0,Source!F57*0.18,IF(Source!F54&gt;0,Source!F55*0.18,Source!F51*0.18)),2)</f>
        <v>9817.17</v>
      </c>
      <c r="G58" s="3" t="s">
        <v>104</v>
      </c>
      <c r="H58" s="3" t="s">
        <v>105</v>
      </c>
      <c r="I58" s="3"/>
      <c r="J58" s="3"/>
      <c r="K58" s="3">
        <v>212</v>
      </c>
      <c r="L58" s="3">
        <v>22</v>
      </c>
      <c r="M58" s="3">
        <v>0</v>
      </c>
      <c r="N58" s="3" t="s">
        <v>3</v>
      </c>
    </row>
    <row r="59" spans="1:14" ht="12.75">
      <c r="A59" s="3">
        <v>50</v>
      </c>
      <c r="B59" s="3">
        <v>1</v>
      </c>
      <c r="C59" s="3">
        <v>0</v>
      </c>
      <c r="D59" s="3">
        <v>2</v>
      </c>
      <c r="E59" s="3">
        <v>213</v>
      </c>
      <c r="F59" s="3">
        <f>ROUND(Source!F58/18*100+Source!F58,2)</f>
        <v>64357</v>
      </c>
      <c r="G59" s="3" t="s">
        <v>106</v>
      </c>
      <c r="H59" s="3" t="s">
        <v>106</v>
      </c>
      <c r="I59" s="3"/>
      <c r="J59" s="3"/>
      <c r="K59" s="3">
        <v>212</v>
      </c>
      <c r="L59" s="3">
        <v>23</v>
      </c>
      <c r="M59" s="3">
        <v>0</v>
      </c>
      <c r="N59" s="3" t="s">
        <v>3</v>
      </c>
    </row>
    <row r="60" ht="12.75">
      <c r="G60">
        <v>0</v>
      </c>
    </row>
    <row r="61" spans="1:59" ht="12.75">
      <c r="A61" s="1">
        <v>4</v>
      </c>
      <c r="B61" s="1">
        <v>1</v>
      </c>
      <c r="C61" s="1"/>
      <c r="D61" s="1">
        <f>ROW(A68)</f>
        <v>68</v>
      </c>
      <c r="E61" s="1"/>
      <c r="F61" s="1" t="s">
        <v>14</v>
      </c>
      <c r="G61" s="1" t="s">
        <v>107</v>
      </c>
      <c r="H61" s="1"/>
      <c r="I61" s="1"/>
      <c r="J61" s="1"/>
      <c r="K61" s="1"/>
      <c r="L61" s="1"/>
      <c r="M61" s="1"/>
      <c r="N61" s="1" t="s">
        <v>3</v>
      </c>
      <c r="O61" s="1"/>
      <c r="P61" s="1"/>
      <c r="Q61" s="1"/>
      <c r="R61" s="1" t="s">
        <v>3</v>
      </c>
      <c r="S61" s="1" t="s">
        <v>3</v>
      </c>
      <c r="T61" s="1" t="s">
        <v>3</v>
      </c>
      <c r="U61" s="1" t="s">
        <v>3</v>
      </c>
      <c r="V61" s="1"/>
      <c r="W61" s="1"/>
      <c r="X61" s="1">
        <v>0</v>
      </c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>
        <v>0</v>
      </c>
      <c r="AM61" s="1"/>
      <c r="BE61" t="s">
        <v>108</v>
      </c>
      <c r="BF61">
        <v>0</v>
      </c>
      <c r="BG61">
        <v>0</v>
      </c>
    </row>
    <row r="63" spans="1:39" ht="12.75">
      <c r="A63" s="2">
        <v>52</v>
      </c>
      <c r="B63" s="2">
        <f aca="true" t="shared" si="24" ref="B63:AM63">B68</f>
        <v>1</v>
      </c>
      <c r="C63" s="2">
        <f t="shared" si="24"/>
        <v>4</v>
      </c>
      <c r="D63" s="2">
        <f t="shared" si="24"/>
        <v>61</v>
      </c>
      <c r="E63" s="2">
        <f t="shared" si="24"/>
        <v>0</v>
      </c>
      <c r="F63" s="2" t="str">
        <f t="shared" si="24"/>
        <v>Новый раздел</v>
      </c>
      <c r="G63" s="2" t="str">
        <f t="shared" si="24"/>
        <v>Устройство основания</v>
      </c>
      <c r="H63" s="2">
        <f t="shared" si="24"/>
        <v>0</v>
      </c>
      <c r="I63" s="2">
        <f t="shared" si="24"/>
        <v>0</v>
      </c>
      <c r="J63" s="2">
        <f t="shared" si="24"/>
        <v>0</v>
      </c>
      <c r="K63" s="2">
        <f t="shared" si="24"/>
        <v>0</v>
      </c>
      <c r="L63" s="2">
        <f t="shared" si="24"/>
        <v>0</v>
      </c>
      <c r="M63" s="2">
        <f t="shared" si="24"/>
        <v>0</v>
      </c>
      <c r="N63" s="2">
        <f t="shared" si="24"/>
        <v>0</v>
      </c>
      <c r="O63" s="2">
        <f t="shared" si="24"/>
        <v>660498.63</v>
      </c>
      <c r="P63" s="2">
        <f t="shared" si="24"/>
        <v>549682.82</v>
      </c>
      <c r="Q63" s="2">
        <f t="shared" si="24"/>
        <v>68198.71</v>
      </c>
      <c r="R63" s="2">
        <f t="shared" si="24"/>
        <v>13047.69</v>
      </c>
      <c r="S63" s="2">
        <f t="shared" si="24"/>
        <v>42617.1</v>
      </c>
      <c r="T63" s="2">
        <f t="shared" si="24"/>
        <v>0</v>
      </c>
      <c r="U63" s="2">
        <f t="shared" si="24"/>
        <v>630.28</v>
      </c>
      <c r="V63" s="2">
        <f t="shared" si="24"/>
        <v>145.97</v>
      </c>
      <c r="W63" s="2">
        <f t="shared" si="24"/>
        <v>0</v>
      </c>
      <c r="X63" s="2">
        <f t="shared" si="24"/>
        <v>65075.5</v>
      </c>
      <c r="Y63" s="2">
        <f t="shared" si="24"/>
        <v>45520.49</v>
      </c>
      <c r="Z63" s="2">
        <f t="shared" si="24"/>
        <v>0</v>
      </c>
      <c r="AA63" s="2">
        <f t="shared" si="24"/>
        <v>0</v>
      </c>
      <c r="AB63" s="2">
        <f t="shared" si="24"/>
        <v>660498.63</v>
      </c>
      <c r="AC63" s="2">
        <f t="shared" si="24"/>
        <v>549682.82</v>
      </c>
      <c r="AD63" s="2">
        <f t="shared" si="24"/>
        <v>68198.71</v>
      </c>
      <c r="AE63" s="2">
        <f t="shared" si="24"/>
        <v>13047.69</v>
      </c>
      <c r="AF63" s="2">
        <f t="shared" si="24"/>
        <v>42617.1</v>
      </c>
      <c r="AG63" s="2">
        <f t="shared" si="24"/>
        <v>0</v>
      </c>
      <c r="AH63" s="2">
        <f t="shared" si="24"/>
        <v>630.28</v>
      </c>
      <c r="AI63" s="2">
        <f t="shared" si="24"/>
        <v>145.97</v>
      </c>
      <c r="AJ63" s="2">
        <f t="shared" si="24"/>
        <v>0</v>
      </c>
      <c r="AK63" s="2">
        <f t="shared" si="24"/>
        <v>65075.5</v>
      </c>
      <c r="AL63" s="2">
        <f t="shared" si="24"/>
        <v>45520.49</v>
      </c>
      <c r="AM63" s="2">
        <f t="shared" si="24"/>
        <v>0</v>
      </c>
    </row>
    <row r="65" spans="1:144" ht="12.75">
      <c r="A65">
        <v>17</v>
      </c>
      <c r="B65">
        <v>1</v>
      </c>
      <c r="C65">
        <f>ROW(SmtRes!A29)</f>
        <v>29</v>
      </c>
      <c r="E65" t="s">
        <v>17</v>
      </c>
      <c r="F65" t="s">
        <v>109</v>
      </c>
      <c r="G65" t="s">
        <v>110</v>
      </c>
      <c r="H65" t="s">
        <v>111</v>
      </c>
      <c r="I65">
        <v>625</v>
      </c>
      <c r="J65">
        <v>0</v>
      </c>
      <c r="O65">
        <f>ROUND(CP65,2)</f>
        <v>342764</v>
      </c>
      <c r="P65">
        <f>ROUND(CQ65*I65,2)</f>
        <v>243922.5</v>
      </c>
      <c r="Q65">
        <f>ROUND(CR65*I65,2)</f>
        <v>61109</v>
      </c>
      <c r="R65">
        <f>ROUND(CS65*I65,2)</f>
        <v>11341.25</v>
      </c>
      <c r="S65">
        <f>ROUND(CT65*I65,2)</f>
        <v>37732.5</v>
      </c>
      <c r="T65">
        <f>ROUND(CU65*I65,2)</f>
        <v>0</v>
      </c>
      <c r="U65">
        <f>ROUND(CV65*I65,2)</f>
        <v>562.5</v>
      </c>
      <c r="V65">
        <f>ROUND(CW65*I65,2)</f>
        <v>131.25</v>
      </c>
      <c r="W65">
        <f>ROUND(CX65*I65,2)</f>
        <v>0</v>
      </c>
      <c r="X65">
        <f>ROUND(CY65,2)</f>
        <v>56277.78</v>
      </c>
      <c r="Y65">
        <f>ROUND(CZ65,2)</f>
        <v>39259</v>
      </c>
      <c r="AA65">
        <v>0</v>
      </c>
      <c r="AB65">
        <f>(AC65+AD65+AF65)</f>
        <v>96.67999999999999</v>
      </c>
      <c r="AC65">
        <f aca="true" t="shared" si="25" ref="AC65:AJ65">AL65</f>
        <v>66.6</v>
      </c>
      <c r="AD65">
        <f t="shared" si="25"/>
        <v>23.06</v>
      </c>
      <c r="AE65">
        <f t="shared" si="25"/>
        <v>2.11</v>
      </c>
      <c r="AF65">
        <f t="shared" si="25"/>
        <v>7.02</v>
      </c>
      <c r="AG65">
        <f t="shared" si="25"/>
        <v>0</v>
      </c>
      <c r="AH65">
        <f t="shared" si="25"/>
        <v>0.9</v>
      </c>
      <c r="AI65">
        <f t="shared" si="25"/>
        <v>0.21</v>
      </c>
      <c r="AJ65">
        <f t="shared" si="25"/>
        <v>0</v>
      </c>
      <c r="AK65">
        <v>96.68</v>
      </c>
      <c r="AL65">
        <v>66.6</v>
      </c>
      <c r="AM65">
        <v>23.06</v>
      </c>
      <c r="AN65">
        <v>2.11</v>
      </c>
      <c r="AO65">
        <v>7.02</v>
      </c>
      <c r="AP65">
        <v>0</v>
      </c>
      <c r="AQ65">
        <v>0.9</v>
      </c>
      <c r="AR65">
        <v>0.21</v>
      </c>
      <c r="AS65">
        <v>0</v>
      </c>
      <c r="AT65">
        <v>114.68</v>
      </c>
      <c r="AU65">
        <v>80</v>
      </c>
      <c r="AV65">
        <v>1</v>
      </c>
      <c r="AW65">
        <v>1</v>
      </c>
      <c r="AX65">
        <v>1</v>
      </c>
      <c r="AY65">
        <v>1</v>
      </c>
      <c r="AZ65">
        <v>6.09</v>
      </c>
      <c r="BA65">
        <v>8.6</v>
      </c>
      <c r="BB65">
        <v>4.24</v>
      </c>
      <c r="BC65">
        <v>5.86</v>
      </c>
      <c r="BH65">
        <v>0</v>
      </c>
      <c r="BI65">
        <v>1</v>
      </c>
      <c r="BJ65" t="s">
        <v>112</v>
      </c>
      <c r="BM65">
        <v>14</v>
      </c>
      <c r="BN65">
        <v>0</v>
      </c>
      <c r="BO65" t="s">
        <v>109</v>
      </c>
      <c r="BP65">
        <v>1</v>
      </c>
      <c r="BQ65">
        <v>2</v>
      </c>
      <c r="BR65">
        <v>0</v>
      </c>
      <c r="BS65">
        <v>8.6</v>
      </c>
      <c r="BT65">
        <v>1</v>
      </c>
      <c r="BU65">
        <v>1</v>
      </c>
      <c r="BV65">
        <v>1</v>
      </c>
      <c r="BW65">
        <v>1</v>
      </c>
      <c r="BX65">
        <v>1</v>
      </c>
      <c r="CF65">
        <v>0</v>
      </c>
      <c r="CG65">
        <v>0</v>
      </c>
      <c r="CM65">
        <v>0</v>
      </c>
      <c r="CO65">
        <v>0</v>
      </c>
      <c r="CP65">
        <f>(P65+Q65+S65)</f>
        <v>342764</v>
      </c>
      <c r="CQ65">
        <f>(AC65)*BC65</f>
        <v>390.276</v>
      </c>
      <c r="CR65">
        <f>(AD65)*BB65</f>
        <v>97.7744</v>
      </c>
      <c r="CS65">
        <f>(AE65)*BS65</f>
        <v>18.145999999999997</v>
      </c>
      <c r="CT65">
        <f>(AF65)*BA65</f>
        <v>60.37199999999999</v>
      </c>
      <c r="CU65">
        <f aca="true" t="shared" si="26" ref="CU65:CX66">(AG65)*BT65</f>
        <v>0</v>
      </c>
      <c r="CV65">
        <f t="shared" si="26"/>
        <v>0.9</v>
      </c>
      <c r="CW65">
        <f t="shared" si="26"/>
        <v>0.21</v>
      </c>
      <c r="CX65">
        <f t="shared" si="26"/>
        <v>0</v>
      </c>
      <c r="CY65">
        <f>(((S65+R65)*AT65)/100)</f>
        <v>56277.77650000001</v>
      </c>
      <c r="CZ65">
        <f>(((S65+R65)*AU65)/100)</f>
        <v>39259</v>
      </c>
      <c r="DN65">
        <v>0</v>
      </c>
      <c r="DO65">
        <v>0</v>
      </c>
      <c r="DP65">
        <v>1</v>
      </c>
      <c r="DQ65">
        <v>1</v>
      </c>
      <c r="DR65">
        <v>1</v>
      </c>
      <c r="DS65">
        <v>1</v>
      </c>
      <c r="DT65">
        <v>1</v>
      </c>
      <c r="DU65">
        <v>1007</v>
      </c>
      <c r="DV65" t="s">
        <v>111</v>
      </c>
      <c r="DW65" t="s">
        <v>113</v>
      </c>
      <c r="DX65">
        <v>1</v>
      </c>
      <c r="EE65">
        <v>5677327</v>
      </c>
      <c r="EF65">
        <v>2</v>
      </c>
      <c r="EG65" t="s">
        <v>23</v>
      </c>
      <c r="EH65">
        <v>0</v>
      </c>
      <c r="EJ65">
        <v>1</v>
      </c>
      <c r="EK65">
        <v>14</v>
      </c>
      <c r="EL65" t="s">
        <v>114</v>
      </c>
      <c r="EM65" t="s">
        <v>115</v>
      </c>
    </row>
    <row r="66" spans="1:144" ht="12.75">
      <c r="A66">
        <v>17</v>
      </c>
      <c r="B66">
        <v>1</v>
      </c>
      <c r="C66">
        <f>ROW(SmtRes!A36)</f>
        <v>36</v>
      </c>
      <c r="E66" t="s">
        <v>26</v>
      </c>
      <c r="F66" t="s">
        <v>43</v>
      </c>
      <c r="G66" t="s">
        <v>44</v>
      </c>
      <c r="H66" t="s">
        <v>20</v>
      </c>
      <c r="I66">
        <v>1.323</v>
      </c>
      <c r="J66">
        <v>0</v>
      </c>
      <c r="O66">
        <f>ROUND(CP66,2)</f>
        <v>317734.63</v>
      </c>
      <c r="P66">
        <f>ROUND(CQ66*I66,2)</f>
        <v>305760.32</v>
      </c>
      <c r="Q66">
        <f>ROUND(CR66*I66,2)</f>
        <v>7089.71</v>
      </c>
      <c r="R66">
        <f>ROUND(CS66*I66,2)</f>
        <v>1706.44</v>
      </c>
      <c r="S66">
        <f>ROUND(CT66*I66,2)</f>
        <v>4884.6</v>
      </c>
      <c r="T66">
        <f>ROUND(CU66*I66,2)</f>
        <v>0</v>
      </c>
      <c r="U66">
        <f>ROUND(CV66*I66,2)</f>
        <v>67.78</v>
      </c>
      <c r="V66">
        <f>ROUND(CW66*I66,2)</f>
        <v>14.72</v>
      </c>
      <c r="W66">
        <f>ROUND(CX66*I66,2)</f>
        <v>0</v>
      </c>
      <c r="X66">
        <f>ROUND(CY66,2)</f>
        <v>8797.72</v>
      </c>
      <c r="Y66">
        <f>ROUND(CZ66,2)</f>
        <v>6261.49</v>
      </c>
      <c r="AA66">
        <v>0</v>
      </c>
      <c r="AB66">
        <f>(AC66+AD66+AF66)</f>
        <v>33514.8893</v>
      </c>
      <c r="AC66">
        <f>(AL66*0.33)</f>
        <v>31833.519300000004</v>
      </c>
      <c r="AD66">
        <f aca="true" t="shared" si="27" ref="AD66:AJ66">AM66</f>
        <v>1252.06</v>
      </c>
      <c r="AE66">
        <f t="shared" si="27"/>
        <v>149.98</v>
      </c>
      <c r="AF66">
        <f t="shared" si="27"/>
        <v>429.31</v>
      </c>
      <c r="AG66">
        <f t="shared" si="27"/>
        <v>0</v>
      </c>
      <c r="AH66">
        <f t="shared" si="27"/>
        <v>51.23</v>
      </c>
      <c r="AI66">
        <f t="shared" si="27"/>
        <v>11.13</v>
      </c>
      <c r="AJ66">
        <f t="shared" si="27"/>
        <v>0</v>
      </c>
      <c r="AK66">
        <v>98146.58</v>
      </c>
      <c r="AL66">
        <v>96465.21</v>
      </c>
      <c r="AM66">
        <v>1252.06</v>
      </c>
      <c r="AN66">
        <v>149.98</v>
      </c>
      <c r="AO66">
        <v>429.31</v>
      </c>
      <c r="AP66">
        <v>0</v>
      </c>
      <c r="AQ66">
        <v>51.23</v>
      </c>
      <c r="AR66">
        <v>11.13</v>
      </c>
      <c r="AS66">
        <v>0</v>
      </c>
      <c r="AT66">
        <v>133.48</v>
      </c>
      <c r="AU66">
        <v>95</v>
      </c>
      <c r="AV66">
        <v>1</v>
      </c>
      <c r="AW66">
        <v>1</v>
      </c>
      <c r="AX66">
        <v>1</v>
      </c>
      <c r="AY66">
        <v>1</v>
      </c>
      <c r="AZ66">
        <v>7.24</v>
      </c>
      <c r="BA66">
        <v>8.6</v>
      </c>
      <c r="BB66">
        <v>4.28</v>
      </c>
      <c r="BC66">
        <v>7.26</v>
      </c>
      <c r="BH66">
        <v>0</v>
      </c>
      <c r="BI66">
        <v>1</v>
      </c>
      <c r="BJ66" t="s">
        <v>45</v>
      </c>
      <c r="BM66">
        <v>30</v>
      </c>
      <c r="BN66">
        <v>0</v>
      </c>
      <c r="BO66" t="s">
        <v>43</v>
      </c>
      <c r="BP66">
        <v>1</v>
      </c>
      <c r="BQ66">
        <v>2</v>
      </c>
      <c r="BR66">
        <v>0</v>
      </c>
      <c r="BS66">
        <v>8.6</v>
      </c>
      <c r="BT66">
        <v>1</v>
      </c>
      <c r="BU66">
        <v>1</v>
      </c>
      <c r="BV66">
        <v>1</v>
      </c>
      <c r="BW66">
        <v>1</v>
      </c>
      <c r="BX66">
        <v>1</v>
      </c>
      <c r="CF66">
        <v>0</v>
      </c>
      <c r="CG66">
        <v>0</v>
      </c>
      <c r="CM66">
        <v>0</v>
      </c>
      <c r="CO66">
        <v>0</v>
      </c>
      <c r="CP66">
        <f>(P66+Q66+S66)</f>
        <v>317734.63</v>
      </c>
      <c r="CQ66">
        <f>(AC66)*BC66</f>
        <v>231111.35011800003</v>
      </c>
      <c r="CR66">
        <f>(AD66)*BB66</f>
        <v>5358.8168000000005</v>
      </c>
      <c r="CS66">
        <f>(AE66)*BS66</f>
        <v>1289.8279999999997</v>
      </c>
      <c r="CT66">
        <f>(AF66)*BA66</f>
        <v>3692.066</v>
      </c>
      <c r="CU66">
        <f t="shared" si="26"/>
        <v>0</v>
      </c>
      <c r="CV66">
        <f t="shared" si="26"/>
        <v>51.23</v>
      </c>
      <c r="CW66">
        <f t="shared" si="26"/>
        <v>11.13</v>
      </c>
      <c r="CX66">
        <f t="shared" si="26"/>
        <v>0</v>
      </c>
      <c r="CY66">
        <f>(((S66+R66)*AT66)/100)</f>
        <v>8797.720192</v>
      </c>
      <c r="CZ66">
        <f>(((S66+R66)*AU66)/100)</f>
        <v>6261.488</v>
      </c>
      <c r="DD66" t="s">
        <v>116</v>
      </c>
      <c r="DN66">
        <v>0</v>
      </c>
      <c r="DO66">
        <v>0</v>
      </c>
      <c r="DP66">
        <v>1</v>
      </c>
      <c r="DQ66">
        <v>1</v>
      </c>
      <c r="DR66">
        <v>1</v>
      </c>
      <c r="DS66">
        <v>1</v>
      </c>
      <c r="DT66">
        <v>1</v>
      </c>
      <c r="DU66">
        <v>1007</v>
      </c>
      <c r="DV66" t="s">
        <v>20</v>
      </c>
      <c r="DW66" t="s">
        <v>22</v>
      </c>
      <c r="DX66">
        <v>100</v>
      </c>
      <c r="EE66">
        <v>5677342</v>
      </c>
      <c r="EF66">
        <v>2</v>
      </c>
      <c r="EG66" t="s">
        <v>23</v>
      </c>
      <c r="EH66">
        <v>0</v>
      </c>
      <c r="EJ66">
        <v>1</v>
      </c>
      <c r="EK66">
        <v>30</v>
      </c>
      <c r="EL66" t="s">
        <v>24</v>
      </c>
      <c r="EM66" t="s">
        <v>25</v>
      </c>
    </row>
    <row r="68" spans="1:39" ht="12.75">
      <c r="A68" s="2">
        <v>51</v>
      </c>
      <c r="B68" s="2">
        <f>B61</f>
        <v>1</v>
      </c>
      <c r="C68" s="2">
        <f>A61</f>
        <v>4</v>
      </c>
      <c r="D68" s="2">
        <f>ROW(A61)</f>
        <v>61</v>
      </c>
      <c r="E68" s="2"/>
      <c r="F68" s="2" t="str">
        <f>IF(F61&lt;&gt;"",F61,"")</f>
        <v>Новый раздел</v>
      </c>
      <c r="G68" s="2" t="str">
        <f>IF(G61&lt;&gt;"",G61,"")</f>
        <v>Устройство основания</v>
      </c>
      <c r="H68" s="2"/>
      <c r="I68" s="2"/>
      <c r="J68" s="2"/>
      <c r="K68" s="2"/>
      <c r="L68" s="2"/>
      <c r="M68" s="2"/>
      <c r="N68" s="2"/>
      <c r="O68" s="2">
        <f aca="true" t="shared" si="28" ref="O68:Y68">ROUND(AB68,2)</f>
        <v>660498.63</v>
      </c>
      <c r="P68" s="2">
        <f t="shared" si="28"/>
        <v>549682.82</v>
      </c>
      <c r="Q68" s="2">
        <f t="shared" si="28"/>
        <v>68198.71</v>
      </c>
      <c r="R68" s="2">
        <f t="shared" si="28"/>
        <v>13047.69</v>
      </c>
      <c r="S68" s="2">
        <f t="shared" si="28"/>
        <v>42617.1</v>
      </c>
      <c r="T68" s="2">
        <f t="shared" si="28"/>
        <v>0</v>
      </c>
      <c r="U68" s="2">
        <f t="shared" si="28"/>
        <v>630.28</v>
      </c>
      <c r="V68" s="2">
        <f t="shared" si="28"/>
        <v>145.97</v>
      </c>
      <c r="W68" s="2">
        <f t="shared" si="28"/>
        <v>0</v>
      </c>
      <c r="X68" s="2">
        <f t="shared" si="28"/>
        <v>65075.5</v>
      </c>
      <c r="Y68" s="2">
        <f t="shared" si="28"/>
        <v>45520.49</v>
      </c>
      <c r="Z68" s="2"/>
      <c r="AA68" s="2"/>
      <c r="AB68" s="2">
        <f>ROUND(SUMIF(AA65:AA66,"=0",O65:O66),2)</f>
        <v>660498.63</v>
      </c>
      <c r="AC68" s="2">
        <f>ROUND(SUMIF(AA65:AA66,"=0",P65:P66),2)</f>
        <v>549682.82</v>
      </c>
      <c r="AD68" s="2">
        <f>ROUND(SUMIF(AA65:AA66,"=0",Q65:Q66),2)</f>
        <v>68198.71</v>
      </c>
      <c r="AE68" s="2">
        <f>ROUND(SUMIF(AA65:AA66,"=0",R65:R66),2)</f>
        <v>13047.69</v>
      </c>
      <c r="AF68" s="2">
        <f>ROUND(SUMIF(AA65:AA66,"=0",S65:S66),2)</f>
        <v>42617.1</v>
      </c>
      <c r="AG68" s="2">
        <f>ROUND(SUMIF(AA65:AA66,"=0",T65:T66),2)</f>
        <v>0</v>
      </c>
      <c r="AH68" s="2">
        <f>ROUND(SUMIF(AA65:AA66,"=0",U65:U66),2)</f>
        <v>630.28</v>
      </c>
      <c r="AI68" s="2">
        <f>ROUND(SUMIF(AA65:AA66,"=0",V65:V66),2)</f>
        <v>145.97</v>
      </c>
      <c r="AJ68" s="2">
        <f>ROUND(SUMIF(AA65:AA66,"=0",W65:W66),2)</f>
        <v>0</v>
      </c>
      <c r="AK68" s="2">
        <f>ROUND(SUMIF(AA65:AA66,"=0",X65:X66),2)</f>
        <v>65075.5</v>
      </c>
      <c r="AL68" s="2">
        <f>ROUND(SUMIF(AA65:AA66,"=0",Y65:Y66),2)</f>
        <v>45520.49</v>
      </c>
      <c r="AM68" s="2">
        <v>0</v>
      </c>
    </row>
    <row r="70" spans="1:14" ht="12.75">
      <c r="A70" s="3">
        <v>50</v>
      </c>
      <c r="B70" s="3">
        <v>0</v>
      </c>
      <c r="C70" s="3">
        <v>0</v>
      </c>
      <c r="D70" s="3">
        <v>1</v>
      </c>
      <c r="E70" s="3">
        <v>0</v>
      </c>
      <c r="F70" s="3">
        <f>Source!O68</f>
        <v>660498.63</v>
      </c>
      <c r="G70" s="3" t="s">
        <v>60</v>
      </c>
      <c r="H70" s="3" t="s">
        <v>61</v>
      </c>
      <c r="I70" s="3"/>
      <c r="J70" s="3"/>
      <c r="K70" s="3">
        <v>201</v>
      </c>
      <c r="L70" s="3">
        <v>1</v>
      </c>
      <c r="M70" s="3">
        <v>3</v>
      </c>
      <c r="N70" s="3" t="s">
        <v>3</v>
      </c>
    </row>
    <row r="71" spans="1:14" ht="12.75">
      <c r="A71" s="3">
        <v>50</v>
      </c>
      <c r="B71" s="3">
        <v>0</v>
      </c>
      <c r="C71" s="3">
        <v>0</v>
      </c>
      <c r="D71" s="3">
        <v>1</v>
      </c>
      <c r="E71" s="3">
        <v>202</v>
      </c>
      <c r="F71" s="3">
        <f>Source!P68</f>
        <v>549682.82</v>
      </c>
      <c r="G71" s="3" t="s">
        <v>62</v>
      </c>
      <c r="H71" s="3" t="s">
        <v>63</v>
      </c>
      <c r="I71" s="3"/>
      <c r="J71" s="3"/>
      <c r="K71" s="3">
        <v>202</v>
      </c>
      <c r="L71" s="3">
        <v>2</v>
      </c>
      <c r="M71" s="3">
        <v>3</v>
      </c>
      <c r="N71" s="3" t="s">
        <v>3</v>
      </c>
    </row>
    <row r="72" spans="1:14" ht="12.75">
      <c r="A72" s="3">
        <v>50</v>
      </c>
      <c r="B72" s="3">
        <v>0</v>
      </c>
      <c r="C72" s="3">
        <v>0</v>
      </c>
      <c r="D72" s="3">
        <v>1</v>
      </c>
      <c r="E72" s="3">
        <v>203</v>
      </c>
      <c r="F72" s="3">
        <f>Source!Q68</f>
        <v>68198.71</v>
      </c>
      <c r="G72" s="3" t="s">
        <v>64</v>
      </c>
      <c r="H72" s="3" t="s">
        <v>65</v>
      </c>
      <c r="I72" s="3"/>
      <c r="J72" s="3"/>
      <c r="K72" s="3">
        <v>203</v>
      </c>
      <c r="L72" s="3">
        <v>3</v>
      </c>
      <c r="M72" s="3">
        <v>3</v>
      </c>
      <c r="N72" s="3" t="s">
        <v>3</v>
      </c>
    </row>
    <row r="73" spans="1:14" ht="12.75">
      <c r="A73" s="3">
        <v>50</v>
      </c>
      <c r="B73" s="3">
        <v>0</v>
      </c>
      <c r="C73" s="3">
        <v>0</v>
      </c>
      <c r="D73" s="3">
        <v>1</v>
      </c>
      <c r="E73" s="3">
        <v>204</v>
      </c>
      <c r="F73" s="3">
        <f>Source!R68</f>
        <v>13047.69</v>
      </c>
      <c r="G73" s="3" t="s">
        <v>66</v>
      </c>
      <c r="H73" s="3" t="s">
        <v>67</v>
      </c>
      <c r="I73" s="3"/>
      <c r="J73" s="3"/>
      <c r="K73" s="3">
        <v>204</v>
      </c>
      <c r="L73" s="3">
        <v>4</v>
      </c>
      <c r="M73" s="3">
        <v>3</v>
      </c>
      <c r="N73" s="3" t="s">
        <v>3</v>
      </c>
    </row>
    <row r="74" spans="1:14" ht="12.75">
      <c r="A74" s="3">
        <v>50</v>
      </c>
      <c r="B74" s="3">
        <v>0</v>
      </c>
      <c r="C74" s="3">
        <v>0</v>
      </c>
      <c r="D74" s="3">
        <v>1</v>
      </c>
      <c r="E74" s="3">
        <v>0</v>
      </c>
      <c r="F74" s="3">
        <f>Source!S68</f>
        <v>42617.1</v>
      </c>
      <c r="G74" s="3" t="s">
        <v>68</v>
      </c>
      <c r="H74" s="3" t="s">
        <v>69</v>
      </c>
      <c r="I74" s="3"/>
      <c r="J74" s="3"/>
      <c r="K74" s="3">
        <v>205</v>
      </c>
      <c r="L74" s="3">
        <v>5</v>
      </c>
      <c r="M74" s="3">
        <v>3</v>
      </c>
      <c r="N74" s="3" t="s">
        <v>3</v>
      </c>
    </row>
    <row r="75" spans="1:14" ht="12.75">
      <c r="A75" s="3">
        <v>50</v>
      </c>
      <c r="B75" s="3">
        <v>0</v>
      </c>
      <c r="C75" s="3">
        <v>0</v>
      </c>
      <c r="D75" s="3">
        <v>1</v>
      </c>
      <c r="E75" s="3">
        <v>206</v>
      </c>
      <c r="F75" s="3">
        <f>Source!T68</f>
        <v>0</v>
      </c>
      <c r="G75" s="3" t="s">
        <v>70</v>
      </c>
      <c r="H75" s="3" t="s">
        <v>71</v>
      </c>
      <c r="I75" s="3"/>
      <c r="J75" s="3"/>
      <c r="K75" s="3">
        <v>206</v>
      </c>
      <c r="L75" s="3">
        <v>6</v>
      </c>
      <c r="M75" s="3">
        <v>3</v>
      </c>
      <c r="N75" s="3" t="s">
        <v>3</v>
      </c>
    </row>
    <row r="76" spans="1:14" ht="12.75">
      <c r="A76" s="3">
        <v>50</v>
      </c>
      <c r="B76" s="3">
        <v>0</v>
      </c>
      <c r="C76" s="3">
        <v>0</v>
      </c>
      <c r="D76" s="3">
        <v>1</v>
      </c>
      <c r="E76" s="3">
        <v>207</v>
      </c>
      <c r="F76" s="3">
        <f>Source!U68</f>
        <v>630.28</v>
      </c>
      <c r="G76" s="3" t="s">
        <v>72</v>
      </c>
      <c r="H76" s="3" t="s">
        <v>73</v>
      </c>
      <c r="I76" s="3"/>
      <c r="J76" s="3"/>
      <c r="K76" s="3">
        <v>207</v>
      </c>
      <c r="L76" s="3">
        <v>7</v>
      </c>
      <c r="M76" s="3">
        <v>3</v>
      </c>
      <c r="N76" s="3" t="s">
        <v>3</v>
      </c>
    </row>
    <row r="77" spans="1:14" ht="12.75">
      <c r="A77" s="3">
        <v>50</v>
      </c>
      <c r="B77" s="3">
        <v>0</v>
      </c>
      <c r="C77" s="3">
        <v>0</v>
      </c>
      <c r="D77" s="3">
        <v>1</v>
      </c>
      <c r="E77" s="3">
        <v>208</v>
      </c>
      <c r="F77" s="3">
        <f>Source!V68</f>
        <v>145.97</v>
      </c>
      <c r="G77" s="3" t="s">
        <v>74</v>
      </c>
      <c r="H77" s="3" t="s">
        <v>75</v>
      </c>
      <c r="I77" s="3"/>
      <c r="J77" s="3"/>
      <c r="K77" s="3">
        <v>208</v>
      </c>
      <c r="L77" s="3">
        <v>8</v>
      </c>
      <c r="M77" s="3">
        <v>3</v>
      </c>
      <c r="N77" s="3" t="s">
        <v>3</v>
      </c>
    </row>
    <row r="78" spans="1:14" ht="12.75">
      <c r="A78" s="3">
        <v>50</v>
      </c>
      <c r="B78" s="3">
        <v>0</v>
      </c>
      <c r="C78" s="3">
        <v>0</v>
      </c>
      <c r="D78" s="3">
        <v>1</v>
      </c>
      <c r="E78" s="3">
        <v>209</v>
      </c>
      <c r="F78" s="3">
        <f>Source!W68</f>
        <v>0</v>
      </c>
      <c r="G78" s="3" t="s">
        <v>76</v>
      </c>
      <c r="H78" s="3" t="s">
        <v>77</v>
      </c>
      <c r="I78" s="3"/>
      <c r="J78" s="3"/>
      <c r="K78" s="3">
        <v>209</v>
      </c>
      <c r="L78" s="3">
        <v>9</v>
      </c>
      <c r="M78" s="3">
        <v>3</v>
      </c>
      <c r="N78" s="3" t="s">
        <v>3</v>
      </c>
    </row>
    <row r="79" spans="1:14" ht="12.75">
      <c r="A79" s="3">
        <v>50</v>
      </c>
      <c r="B79" s="3">
        <v>0</v>
      </c>
      <c r="C79" s="3">
        <v>0</v>
      </c>
      <c r="D79" s="3">
        <v>1</v>
      </c>
      <c r="E79" s="3">
        <v>0</v>
      </c>
      <c r="F79" s="3">
        <f>Source!X68</f>
        <v>65075.5</v>
      </c>
      <c r="G79" s="3" t="s">
        <v>78</v>
      </c>
      <c r="H79" s="3" t="s">
        <v>79</v>
      </c>
      <c r="I79" s="3"/>
      <c r="J79" s="3"/>
      <c r="K79" s="3">
        <v>210</v>
      </c>
      <c r="L79" s="3">
        <v>10</v>
      </c>
      <c r="M79" s="3">
        <v>3</v>
      </c>
      <c r="N79" s="3" t="s">
        <v>3</v>
      </c>
    </row>
    <row r="80" spans="1:14" ht="12.75">
      <c r="A80" s="3">
        <v>50</v>
      </c>
      <c r="B80" s="3">
        <v>0</v>
      </c>
      <c r="C80" s="3">
        <v>0</v>
      </c>
      <c r="D80" s="3">
        <v>1</v>
      </c>
      <c r="E80" s="3">
        <v>0</v>
      </c>
      <c r="F80" s="3">
        <f>Source!Y68</f>
        <v>45520.49</v>
      </c>
      <c r="G80" s="3" t="s">
        <v>80</v>
      </c>
      <c r="H80" s="3" t="s">
        <v>81</v>
      </c>
      <c r="I80" s="3"/>
      <c r="J80" s="3"/>
      <c r="K80" s="3">
        <v>211</v>
      </c>
      <c r="L80" s="3">
        <v>11</v>
      </c>
      <c r="M80" s="3">
        <v>3</v>
      </c>
      <c r="N80" s="3" t="s">
        <v>3</v>
      </c>
    </row>
    <row r="81" spans="1:14" ht="12.75">
      <c r="A81" s="3">
        <v>50</v>
      </c>
      <c r="B81" s="3">
        <v>0</v>
      </c>
      <c r="C81" s="3">
        <v>0</v>
      </c>
      <c r="D81" s="3">
        <v>2</v>
      </c>
      <c r="E81" s="3">
        <v>201</v>
      </c>
      <c r="F81" s="3">
        <f>ROUND(Source!F70,2)</f>
        <v>660498.63</v>
      </c>
      <c r="G81" s="3" t="s">
        <v>82</v>
      </c>
      <c r="H81" s="3" t="s">
        <v>83</v>
      </c>
      <c r="I81" s="3"/>
      <c r="J81" s="3"/>
      <c r="K81" s="3">
        <v>212</v>
      </c>
      <c r="L81" s="3">
        <v>12</v>
      </c>
      <c r="M81" s="3">
        <v>3</v>
      </c>
      <c r="N81" s="3" t="s">
        <v>3</v>
      </c>
    </row>
    <row r="82" spans="1:14" ht="12.75">
      <c r="A82" s="3">
        <v>50</v>
      </c>
      <c r="B82" s="3">
        <v>0</v>
      </c>
      <c r="C82" s="3">
        <v>0</v>
      </c>
      <c r="D82" s="3">
        <v>2</v>
      </c>
      <c r="E82" s="3">
        <v>210</v>
      </c>
      <c r="F82" s="3">
        <f>ROUND(Source!F79,2)</f>
        <v>65075.5</v>
      </c>
      <c r="G82" s="3" t="s">
        <v>84</v>
      </c>
      <c r="H82" s="3" t="s">
        <v>85</v>
      </c>
      <c r="I82" s="3"/>
      <c r="J82" s="3"/>
      <c r="K82" s="3">
        <v>212</v>
      </c>
      <c r="L82" s="3">
        <v>13</v>
      </c>
      <c r="M82" s="3">
        <v>3</v>
      </c>
      <c r="N82" s="3" t="s">
        <v>3</v>
      </c>
    </row>
    <row r="83" spans="1:14" ht="12.75">
      <c r="A83" s="3">
        <v>50</v>
      </c>
      <c r="B83" s="3">
        <v>0</v>
      </c>
      <c r="C83" s="3">
        <v>0</v>
      </c>
      <c r="D83" s="3">
        <v>2</v>
      </c>
      <c r="E83" s="3">
        <v>211</v>
      </c>
      <c r="F83" s="3">
        <f>ROUND(Source!F80,2)</f>
        <v>45520.49</v>
      </c>
      <c r="G83" s="3" t="s">
        <v>86</v>
      </c>
      <c r="H83" s="3" t="s">
        <v>87</v>
      </c>
      <c r="I83" s="3"/>
      <c r="J83" s="3"/>
      <c r="K83" s="3">
        <v>212</v>
      </c>
      <c r="L83" s="3">
        <v>14</v>
      </c>
      <c r="M83" s="3">
        <v>3</v>
      </c>
      <c r="N83" s="3" t="s">
        <v>3</v>
      </c>
    </row>
    <row r="84" spans="1:14" ht="12.75">
      <c r="A84" s="3">
        <v>50</v>
      </c>
      <c r="B84" s="3">
        <v>1</v>
      </c>
      <c r="C84" s="3">
        <v>0</v>
      </c>
      <c r="D84" s="3">
        <v>2</v>
      </c>
      <c r="E84" s="3">
        <v>0</v>
      </c>
      <c r="F84" s="3">
        <f>ROUND(Source!F81+Source!F82+Source!F83,2)</f>
        <v>771094.62</v>
      </c>
      <c r="G84" s="3" t="s">
        <v>88</v>
      </c>
      <c r="H84" s="3" t="s">
        <v>89</v>
      </c>
      <c r="I84" s="3"/>
      <c r="J84" s="3"/>
      <c r="K84" s="3">
        <v>212</v>
      </c>
      <c r="L84" s="3">
        <v>15</v>
      </c>
      <c r="M84" s="3">
        <v>0</v>
      </c>
      <c r="N84" s="3" t="s">
        <v>3</v>
      </c>
    </row>
    <row r="85" spans="1:14" ht="12.75">
      <c r="A85" s="3">
        <v>50</v>
      </c>
      <c r="B85" s="3">
        <v>0</v>
      </c>
      <c r="C85" s="3">
        <v>0</v>
      </c>
      <c r="D85" s="3">
        <v>2</v>
      </c>
      <c r="E85" s="3">
        <v>0</v>
      </c>
      <c r="F85" s="3">
        <f>ROUND(Source!F76+Source!F77,2)</f>
        <v>776.25</v>
      </c>
      <c r="G85" s="3" t="s">
        <v>90</v>
      </c>
      <c r="H85" s="3" t="s">
        <v>91</v>
      </c>
      <c r="I85" s="3"/>
      <c r="J85" s="3"/>
      <c r="K85" s="3">
        <v>212</v>
      </c>
      <c r="L85" s="3">
        <v>16</v>
      </c>
      <c r="M85" s="3">
        <v>3</v>
      </c>
      <c r="N85" s="3" t="s">
        <v>3</v>
      </c>
    </row>
    <row r="86" spans="1:14" ht="12.75">
      <c r="A86" s="3">
        <v>50</v>
      </c>
      <c r="B86" s="3">
        <v>0</v>
      </c>
      <c r="C86" s="3">
        <v>0</v>
      </c>
      <c r="D86" s="3">
        <v>2</v>
      </c>
      <c r="E86" s="3">
        <v>205</v>
      </c>
      <c r="F86" s="3">
        <f>ROUND(Source!F74+Source!F73,2)</f>
        <v>55664.79</v>
      </c>
      <c r="G86" s="3" t="s">
        <v>92</v>
      </c>
      <c r="H86" s="3" t="s">
        <v>93</v>
      </c>
      <c r="I86" s="3"/>
      <c r="J86" s="3"/>
      <c r="K86" s="3">
        <v>212</v>
      </c>
      <c r="L86" s="3">
        <v>17</v>
      </c>
      <c r="M86" s="3">
        <v>3</v>
      </c>
      <c r="N86" s="3" t="s">
        <v>3</v>
      </c>
    </row>
    <row r="87" spans="1:14" ht="12.75">
      <c r="A87" s="3">
        <v>50</v>
      </c>
      <c r="B87" s="3">
        <f>IF(Source!F87&lt;&gt;0,1,0)</f>
        <v>1</v>
      </c>
      <c r="C87" s="3">
        <v>0</v>
      </c>
      <c r="D87" s="3">
        <v>2</v>
      </c>
      <c r="E87" s="3">
        <v>0</v>
      </c>
      <c r="F87" s="3">
        <f>ROUND(1.2,2)</f>
        <v>1.2</v>
      </c>
      <c r="G87" s="3" t="s">
        <v>94</v>
      </c>
      <c r="H87" s="3" t="s">
        <v>95</v>
      </c>
      <c r="I87" s="3"/>
      <c r="J87" s="3"/>
      <c r="K87" s="3">
        <v>212</v>
      </c>
      <c r="L87" s="3">
        <v>18</v>
      </c>
      <c r="M87" s="3">
        <v>1</v>
      </c>
      <c r="N87" s="3" t="s">
        <v>96</v>
      </c>
    </row>
    <row r="88" spans="1:14" ht="12.75">
      <c r="A88" s="3">
        <v>50</v>
      </c>
      <c r="B88" s="3">
        <f>IF(Source!F88&lt;&gt;0,1,0)</f>
        <v>1</v>
      </c>
      <c r="C88" s="3">
        <v>0</v>
      </c>
      <c r="D88" s="3">
        <v>2</v>
      </c>
      <c r="E88" s="3">
        <v>0</v>
      </c>
      <c r="F88" s="3">
        <f>ROUND(IF(Source!F87&gt;0,Source!F84*(Source!F87/100+1),0),2)</f>
        <v>780347.76</v>
      </c>
      <c r="G88" s="3" t="s">
        <v>97</v>
      </c>
      <c r="H88" s="3" t="s">
        <v>98</v>
      </c>
      <c r="I88" s="3"/>
      <c r="J88" s="3"/>
      <c r="K88" s="3">
        <v>212</v>
      </c>
      <c r="L88" s="3">
        <v>19</v>
      </c>
      <c r="M88" s="3">
        <v>1</v>
      </c>
      <c r="N88" s="3" t="s">
        <v>3</v>
      </c>
    </row>
    <row r="89" spans="1:14" ht="12.75">
      <c r="A89" s="3">
        <v>50</v>
      </c>
      <c r="B89" s="3">
        <f>IF(Source!F89&lt;&gt;0,1,0)</f>
        <v>0</v>
      </c>
      <c r="C89" s="3">
        <v>0</v>
      </c>
      <c r="D89" s="3">
        <v>2</v>
      </c>
      <c r="E89" s="3">
        <v>0</v>
      </c>
      <c r="F89" s="3">
        <v>0</v>
      </c>
      <c r="G89" s="3" t="s">
        <v>99</v>
      </c>
      <c r="H89" s="3" t="s">
        <v>100</v>
      </c>
      <c r="I89" s="3"/>
      <c r="J89" s="3"/>
      <c r="K89" s="3">
        <v>212</v>
      </c>
      <c r="L89" s="3">
        <v>20</v>
      </c>
      <c r="M89" s="3">
        <v>1</v>
      </c>
      <c r="N89" s="3" t="s">
        <v>101</v>
      </c>
    </row>
    <row r="90" spans="1:14" ht="12.75">
      <c r="A90" s="3">
        <v>50</v>
      </c>
      <c r="B90" s="3">
        <f>IF(Source!F90&lt;&gt;0,1,0)</f>
        <v>0</v>
      </c>
      <c r="C90" s="3">
        <v>0</v>
      </c>
      <c r="D90" s="3">
        <v>2</v>
      </c>
      <c r="E90" s="3">
        <v>0</v>
      </c>
      <c r="F90" s="3">
        <f>ROUND(IF(Source!F89&gt;0,IF(Source!F87&gt;0,Source!F88*(Source!F89/100+1),Source!F84*(Source!F89/100+1)),0),2)</f>
        <v>0</v>
      </c>
      <c r="G90" s="3" t="s">
        <v>102</v>
      </c>
      <c r="H90" s="3" t="s">
        <v>103</v>
      </c>
      <c r="I90" s="3"/>
      <c r="J90" s="3"/>
      <c r="K90" s="3">
        <v>212</v>
      </c>
      <c r="L90" s="3">
        <v>21</v>
      </c>
      <c r="M90" s="3">
        <v>1</v>
      </c>
      <c r="N90" s="3" t="s">
        <v>3</v>
      </c>
    </row>
    <row r="91" spans="1:14" ht="12.75">
      <c r="A91" s="3">
        <v>50</v>
      </c>
      <c r="B91" s="3">
        <v>1</v>
      </c>
      <c r="C91" s="3">
        <v>0</v>
      </c>
      <c r="D91" s="3">
        <v>2</v>
      </c>
      <c r="E91" s="3">
        <v>0</v>
      </c>
      <c r="F91" s="3">
        <f>ROUND(IF(Source!F90&gt;0,Source!F90*0.18,IF(Source!F87&gt;0,Source!F88*0.18,Source!F84*0.18)),2)</f>
        <v>140462.6</v>
      </c>
      <c r="G91" s="3" t="s">
        <v>104</v>
      </c>
      <c r="H91" s="3" t="s">
        <v>105</v>
      </c>
      <c r="I91" s="3"/>
      <c r="J91" s="3"/>
      <c r="K91" s="3">
        <v>212</v>
      </c>
      <c r="L91" s="3">
        <v>22</v>
      </c>
      <c r="M91" s="3">
        <v>0</v>
      </c>
      <c r="N91" s="3" t="s">
        <v>3</v>
      </c>
    </row>
    <row r="92" spans="1:14" ht="12.75">
      <c r="A92" s="3">
        <v>50</v>
      </c>
      <c r="B92" s="3">
        <v>1</v>
      </c>
      <c r="C92" s="3">
        <v>0</v>
      </c>
      <c r="D92" s="3">
        <v>2</v>
      </c>
      <c r="E92" s="3">
        <v>213</v>
      </c>
      <c r="F92" s="3">
        <f>ROUND(Source!F91/18*100+Source!F91,2)</f>
        <v>920810.38</v>
      </c>
      <c r="G92" s="3" t="s">
        <v>106</v>
      </c>
      <c r="H92" s="3" t="s">
        <v>106</v>
      </c>
      <c r="I92" s="3"/>
      <c r="J92" s="3"/>
      <c r="K92" s="3">
        <v>212</v>
      </c>
      <c r="L92" s="3">
        <v>23</v>
      </c>
      <c r="M92" s="3">
        <v>0</v>
      </c>
      <c r="N92" s="3" t="s">
        <v>3</v>
      </c>
    </row>
    <row r="93" ht="12.75">
      <c r="G93">
        <v>0</v>
      </c>
    </row>
    <row r="94" spans="1:59" ht="12.75">
      <c r="A94" s="1">
        <v>4</v>
      </c>
      <c r="B94" s="1">
        <v>1</v>
      </c>
      <c r="C94" s="1"/>
      <c r="D94" s="1">
        <f>ROW(A108)</f>
        <v>108</v>
      </c>
      <c r="E94" s="1"/>
      <c r="F94" s="1" t="s">
        <v>14</v>
      </c>
      <c r="G94" s="1" t="s">
        <v>117</v>
      </c>
      <c r="H94" s="1"/>
      <c r="I94" s="1"/>
      <c r="J94" s="1"/>
      <c r="K94" s="1"/>
      <c r="L94" s="1"/>
      <c r="M94" s="1"/>
      <c r="N94" s="1" t="s">
        <v>3</v>
      </c>
      <c r="O94" s="1"/>
      <c r="P94" s="1"/>
      <c r="Q94" s="1"/>
      <c r="R94" s="1" t="s">
        <v>3</v>
      </c>
      <c r="S94" s="1" t="s">
        <v>3</v>
      </c>
      <c r="T94" s="1" t="s">
        <v>3</v>
      </c>
      <c r="U94" s="1" t="s">
        <v>3</v>
      </c>
      <c r="V94" s="1"/>
      <c r="W94" s="1"/>
      <c r="X94" s="1">
        <v>0</v>
      </c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>
        <v>0</v>
      </c>
      <c r="AM94" s="1"/>
      <c r="BE94" t="s">
        <v>118</v>
      </c>
      <c r="BF94">
        <v>0</v>
      </c>
      <c r="BG94">
        <v>0</v>
      </c>
    </row>
    <row r="96" spans="1:39" ht="12.75">
      <c r="A96" s="2">
        <v>52</v>
      </c>
      <c r="B96" s="2">
        <f aca="true" t="shared" si="29" ref="B96:AM96">B108</f>
        <v>1</v>
      </c>
      <c r="C96" s="2">
        <f t="shared" si="29"/>
        <v>4</v>
      </c>
      <c r="D96" s="2">
        <f t="shared" si="29"/>
        <v>94</v>
      </c>
      <c r="E96" s="2">
        <f t="shared" si="29"/>
        <v>0</v>
      </c>
      <c r="F96" s="2" t="str">
        <f t="shared" si="29"/>
        <v>Новый раздел</v>
      </c>
      <c r="G96" s="2" t="str">
        <f t="shared" si="29"/>
        <v>Устройство подкрановых путей</v>
      </c>
      <c r="H96" s="2">
        <f t="shared" si="29"/>
        <v>0</v>
      </c>
      <c r="I96" s="2">
        <f t="shared" si="29"/>
        <v>0</v>
      </c>
      <c r="J96" s="2">
        <f t="shared" si="29"/>
        <v>0</v>
      </c>
      <c r="K96" s="2">
        <f t="shared" si="29"/>
        <v>0</v>
      </c>
      <c r="L96" s="2">
        <f t="shared" si="29"/>
        <v>0</v>
      </c>
      <c r="M96" s="2">
        <f t="shared" si="29"/>
        <v>0</v>
      </c>
      <c r="N96" s="2">
        <f t="shared" si="29"/>
        <v>0</v>
      </c>
      <c r="O96" s="2">
        <f t="shared" si="29"/>
        <v>396324.46</v>
      </c>
      <c r="P96" s="2">
        <f t="shared" si="29"/>
        <v>268067.11</v>
      </c>
      <c r="Q96" s="2">
        <f t="shared" si="29"/>
        <v>64718.14</v>
      </c>
      <c r="R96" s="2">
        <f t="shared" si="29"/>
        <v>15770.51</v>
      </c>
      <c r="S96" s="2">
        <f t="shared" si="29"/>
        <v>63539.21</v>
      </c>
      <c r="T96" s="2">
        <f t="shared" si="29"/>
        <v>0</v>
      </c>
      <c r="U96" s="2">
        <f t="shared" si="29"/>
        <v>832.94</v>
      </c>
      <c r="V96" s="2">
        <f t="shared" si="29"/>
        <v>154.66</v>
      </c>
      <c r="W96" s="2">
        <f t="shared" si="29"/>
        <v>0</v>
      </c>
      <c r="X96" s="2">
        <f t="shared" si="29"/>
        <v>71569.08</v>
      </c>
      <c r="Y96" s="2">
        <f t="shared" si="29"/>
        <v>39654.87</v>
      </c>
      <c r="Z96" s="2">
        <f t="shared" si="29"/>
        <v>0</v>
      </c>
      <c r="AA96" s="2">
        <f t="shared" si="29"/>
        <v>0</v>
      </c>
      <c r="AB96" s="2">
        <f t="shared" si="29"/>
        <v>396324.46</v>
      </c>
      <c r="AC96" s="2">
        <f t="shared" si="29"/>
        <v>268067.11</v>
      </c>
      <c r="AD96" s="2">
        <f t="shared" si="29"/>
        <v>64718.14</v>
      </c>
      <c r="AE96" s="2">
        <f t="shared" si="29"/>
        <v>15770.51</v>
      </c>
      <c r="AF96" s="2">
        <f t="shared" si="29"/>
        <v>63539.21</v>
      </c>
      <c r="AG96" s="2">
        <f t="shared" si="29"/>
        <v>0</v>
      </c>
      <c r="AH96" s="2">
        <f t="shared" si="29"/>
        <v>832.94</v>
      </c>
      <c r="AI96" s="2">
        <f t="shared" si="29"/>
        <v>154.66</v>
      </c>
      <c r="AJ96" s="2">
        <f t="shared" si="29"/>
        <v>0</v>
      </c>
      <c r="AK96" s="2">
        <f t="shared" si="29"/>
        <v>71569.08</v>
      </c>
      <c r="AL96" s="2">
        <f t="shared" si="29"/>
        <v>39654.87</v>
      </c>
      <c r="AM96" s="2">
        <f t="shared" si="29"/>
        <v>0</v>
      </c>
    </row>
    <row r="98" spans="1:144" ht="12.75">
      <c r="A98">
        <v>17</v>
      </c>
      <c r="B98">
        <v>1</v>
      </c>
      <c r="C98">
        <f>ROW(SmtRes!A58)</f>
        <v>58</v>
      </c>
      <c r="E98" t="s">
        <v>17</v>
      </c>
      <c r="F98" t="s">
        <v>119</v>
      </c>
      <c r="G98" t="s">
        <v>120</v>
      </c>
      <c r="H98" t="s">
        <v>121</v>
      </c>
      <c r="I98">
        <v>10</v>
      </c>
      <c r="J98">
        <v>0</v>
      </c>
      <c r="O98">
        <f aca="true" t="shared" si="30" ref="O98:O106">ROUND(CP98,2)</f>
        <v>264380.78</v>
      </c>
      <c r="P98">
        <f aca="true" t="shared" si="31" ref="P98:P106">ROUND(CQ98*I98,2)</f>
        <v>207733.19</v>
      </c>
      <c r="Q98">
        <f aca="true" t="shared" si="32" ref="Q98:Q106">ROUND(CR98*I98,2)</f>
        <v>44758.95</v>
      </c>
      <c r="R98">
        <f aca="true" t="shared" si="33" ref="R98:R106">ROUND(CS98*I98,2)</f>
        <v>12457.96</v>
      </c>
      <c r="S98">
        <f aca="true" t="shared" si="34" ref="S98:S106">ROUND(CT98*I98,2)</f>
        <v>11888.64</v>
      </c>
      <c r="T98">
        <f aca="true" t="shared" si="35" ref="T98:T106">ROUND(CU98*I98,2)</f>
        <v>0</v>
      </c>
      <c r="U98">
        <f aca="true" t="shared" si="36" ref="U98:U106">ROUND(CV98*I98,2)</f>
        <v>163.6</v>
      </c>
      <c r="V98">
        <f aca="true" t="shared" si="37" ref="V98:V106">ROUND(CW98*I98,2)</f>
        <v>116.7</v>
      </c>
      <c r="W98">
        <f aca="true" t="shared" si="38" ref="W98:W106">ROUND(CX98*I98,2)</f>
        <v>0</v>
      </c>
      <c r="X98">
        <f aca="true" t="shared" si="39" ref="X98:X106">ROUND(CY98,2)</f>
        <v>21970.37</v>
      </c>
      <c r="Y98">
        <f aca="true" t="shared" si="40" ref="Y98:Y106">ROUND(CZ98,2)</f>
        <v>12173.3</v>
      </c>
      <c r="AA98">
        <v>0</v>
      </c>
      <c r="AB98">
        <f aca="true" t="shared" si="41" ref="AB98:AB106">(AC98+AD98+AF98)</f>
        <v>6043.429999999999</v>
      </c>
      <c r="AC98">
        <f aca="true" t="shared" si="42" ref="AC98:AC106">AL98</f>
        <v>4934.28</v>
      </c>
      <c r="AD98">
        <f aca="true" t="shared" si="43" ref="AD98:AD106">AM98</f>
        <v>970.91</v>
      </c>
      <c r="AE98">
        <f aca="true" t="shared" si="44" ref="AE98:AE106">AN98</f>
        <v>144.86</v>
      </c>
      <c r="AF98">
        <f aca="true" t="shared" si="45" ref="AF98:AF106">AO98</f>
        <v>138.24</v>
      </c>
      <c r="AG98">
        <f aca="true" t="shared" si="46" ref="AG98:AG106">AP98</f>
        <v>0</v>
      </c>
      <c r="AH98">
        <f aca="true" t="shared" si="47" ref="AH98:AH106">AQ98</f>
        <v>16.36</v>
      </c>
      <c r="AI98">
        <f aca="true" t="shared" si="48" ref="AI98:AI106">AR98</f>
        <v>11.67</v>
      </c>
      <c r="AJ98">
        <f aca="true" t="shared" si="49" ref="AJ98:AJ106">AS98</f>
        <v>0</v>
      </c>
      <c r="AK98">
        <v>6043.43</v>
      </c>
      <c r="AL98">
        <v>4934.28</v>
      </c>
      <c r="AM98">
        <v>970.91</v>
      </c>
      <c r="AN98">
        <v>144.86</v>
      </c>
      <c r="AO98">
        <v>138.24</v>
      </c>
      <c r="AP98">
        <v>0</v>
      </c>
      <c r="AQ98">
        <v>16.36</v>
      </c>
      <c r="AR98">
        <v>11.67</v>
      </c>
      <c r="AS98">
        <v>0</v>
      </c>
      <c r="AT98">
        <v>90.24</v>
      </c>
      <c r="AU98">
        <v>50</v>
      </c>
      <c r="AV98">
        <v>1</v>
      </c>
      <c r="AW98">
        <v>1</v>
      </c>
      <c r="AX98">
        <v>1</v>
      </c>
      <c r="AY98">
        <v>1</v>
      </c>
      <c r="AZ98">
        <v>4.62</v>
      </c>
      <c r="BA98">
        <v>8.6</v>
      </c>
      <c r="BB98">
        <v>4.61</v>
      </c>
      <c r="BC98">
        <v>4.21</v>
      </c>
      <c r="BH98">
        <v>0</v>
      </c>
      <c r="BI98">
        <v>1</v>
      </c>
      <c r="BJ98" t="s">
        <v>122</v>
      </c>
      <c r="BM98">
        <v>26</v>
      </c>
      <c r="BN98">
        <v>0</v>
      </c>
      <c r="BO98" t="s">
        <v>119</v>
      </c>
      <c r="BP98">
        <v>1</v>
      </c>
      <c r="BQ98">
        <v>2</v>
      </c>
      <c r="BR98">
        <v>0</v>
      </c>
      <c r="BS98">
        <v>8.6</v>
      </c>
      <c r="BT98">
        <v>1</v>
      </c>
      <c r="BU98">
        <v>1</v>
      </c>
      <c r="BV98">
        <v>1</v>
      </c>
      <c r="BW98">
        <v>1</v>
      </c>
      <c r="BX98">
        <v>1</v>
      </c>
      <c r="CF98">
        <v>0</v>
      </c>
      <c r="CG98">
        <v>0</v>
      </c>
      <c r="CM98">
        <v>0</v>
      </c>
      <c r="CO98">
        <v>0</v>
      </c>
      <c r="CP98">
        <f aca="true" t="shared" si="50" ref="CP98:CP106">(P98+Q98+S98)</f>
        <v>264380.78</v>
      </c>
      <c r="CQ98">
        <f aca="true" t="shared" si="51" ref="CQ98:CQ106">(AC98)*BC98</f>
        <v>20773.318799999997</v>
      </c>
      <c r="CR98">
        <f aca="true" t="shared" si="52" ref="CR98:CR106">(AD98)*BB98</f>
        <v>4475.8951</v>
      </c>
      <c r="CS98">
        <f aca="true" t="shared" si="53" ref="CS98:CS106">(AE98)*BS98</f>
        <v>1245.796</v>
      </c>
      <c r="CT98">
        <f aca="true" t="shared" si="54" ref="CT98:CT106">(AF98)*BA98</f>
        <v>1188.864</v>
      </c>
      <c r="CU98">
        <f aca="true" t="shared" si="55" ref="CU98:CU106">(AG98)*BT98</f>
        <v>0</v>
      </c>
      <c r="CV98">
        <f aca="true" t="shared" si="56" ref="CV98:CV106">(AH98)*BU98</f>
        <v>16.36</v>
      </c>
      <c r="CW98">
        <f aca="true" t="shared" si="57" ref="CW98:CW106">(AI98)*BV98</f>
        <v>11.67</v>
      </c>
      <c r="CX98">
        <f aca="true" t="shared" si="58" ref="CX98:CX106">(AJ98)*BW98</f>
        <v>0</v>
      </c>
      <c r="CY98">
        <f aca="true" t="shared" si="59" ref="CY98:CY106">(((S98+R98)*AT98)/100)</f>
        <v>21970.37184</v>
      </c>
      <c r="CZ98">
        <f aca="true" t="shared" si="60" ref="CZ98:CZ106">(((S98+R98)*AU98)/100)</f>
        <v>12173.3</v>
      </c>
      <c r="DN98">
        <v>0</v>
      </c>
      <c r="DO98">
        <v>0</v>
      </c>
      <c r="DP98">
        <v>1</v>
      </c>
      <c r="DQ98">
        <v>1</v>
      </c>
      <c r="DR98">
        <v>1</v>
      </c>
      <c r="DS98">
        <v>1</v>
      </c>
      <c r="DT98">
        <v>1</v>
      </c>
      <c r="DU98">
        <v>1013</v>
      </c>
      <c r="DV98" t="s">
        <v>121</v>
      </c>
      <c r="DW98" t="s">
        <v>121</v>
      </c>
      <c r="DX98">
        <v>1</v>
      </c>
      <c r="EE98">
        <v>5677339</v>
      </c>
      <c r="EF98">
        <v>2</v>
      </c>
      <c r="EG98" t="s">
        <v>23</v>
      </c>
      <c r="EH98">
        <v>0</v>
      </c>
      <c r="EJ98">
        <v>1</v>
      </c>
      <c r="EK98">
        <v>26</v>
      </c>
      <c r="EL98" t="s">
        <v>123</v>
      </c>
      <c r="EM98" t="s">
        <v>124</v>
      </c>
    </row>
    <row r="99" spans="1:144" ht="12.75">
      <c r="A99">
        <v>17</v>
      </c>
      <c r="B99">
        <v>1</v>
      </c>
      <c r="C99">
        <f>ROW(SmtRes!A67)</f>
        <v>67</v>
      </c>
      <c r="E99" t="s">
        <v>26</v>
      </c>
      <c r="F99" t="s">
        <v>125</v>
      </c>
      <c r="G99" t="s">
        <v>126</v>
      </c>
      <c r="H99" t="s">
        <v>127</v>
      </c>
      <c r="I99">
        <v>2</v>
      </c>
      <c r="J99">
        <v>0</v>
      </c>
      <c r="O99">
        <f t="shared" si="30"/>
        <v>1974.12</v>
      </c>
      <c r="P99">
        <f t="shared" si="31"/>
        <v>209.22</v>
      </c>
      <c r="Q99">
        <f t="shared" si="32"/>
        <v>187.66</v>
      </c>
      <c r="R99">
        <f t="shared" si="33"/>
        <v>11.7</v>
      </c>
      <c r="S99">
        <f t="shared" si="34"/>
        <v>1577.24</v>
      </c>
      <c r="T99">
        <f t="shared" si="35"/>
        <v>0</v>
      </c>
      <c r="U99">
        <f t="shared" si="36"/>
        <v>19.72</v>
      </c>
      <c r="V99">
        <f t="shared" si="37"/>
        <v>0.2</v>
      </c>
      <c r="W99">
        <f t="shared" si="38"/>
        <v>0</v>
      </c>
      <c r="X99">
        <f t="shared" si="39"/>
        <v>1433.86</v>
      </c>
      <c r="Y99">
        <f t="shared" si="40"/>
        <v>794.47</v>
      </c>
      <c r="AA99">
        <v>0</v>
      </c>
      <c r="AB99">
        <f t="shared" si="41"/>
        <v>151.05</v>
      </c>
      <c r="AC99">
        <f t="shared" si="42"/>
        <v>37.63</v>
      </c>
      <c r="AD99">
        <f t="shared" si="43"/>
        <v>21.72</v>
      </c>
      <c r="AE99">
        <f t="shared" si="44"/>
        <v>0.68</v>
      </c>
      <c r="AF99">
        <f t="shared" si="45"/>
        <v>91.7</v>
      </c>
      <c r="AG99">
        <f t="shared" si="46"/>
        <v>0</v>
      </c>
      <c r="AH99">
        <f t="shared" si="47"/>
        <v>9.86</v>
      </c>
      <c r="AI99">
        <f t="shared" si="48"/>
        <v>0.1</v>
      </c>
      <c r="AJ99">
        <f t="shared" si="49"/>
        <v>0</v>
      </c>
      <c r="AK99">
        <v>151.05</v>
      </c>
      <c r="AL99">
        <v>37.63</v>
      </c>
      <c r="AM99">
        <v>21.72</v>
      </c>
      <c r="AN99">
        <v>0.68</v>
      </c>
      <c r="AO99">
        <v>91.7</v>
      </c>
      <c r="AP99">
        <v>0</v>
      </c>
      <c r="AQ99">
        <v>9.86</v>
      </c>
      <c r="AR99">
        <v>0.1</v>
      </c>
      <c r="AS99">
        <v>0</v>
      </c>
      <c r="AT99">
        <v>90.24</v>
      </c>
      <c r="AU99">
        <v>50</v>
      </c>
      <c r="AV99">
        <v>1</v>
      </c>
      <c r="AW99">
        <v>1</v>
      </c>
      <c r="AX99">
        <v>1</v>
      </c>
      <c r="AY99">
        <v>1</v>
      </c>
      <c r="AZ99">
        <v>7.35</v>
      </c>
      <c r="BA99">
        <v>8.6</v>
      </c>
      <c r="BB99">
        <v>4.32</v>
      </c>
      <c r="BC99">
        <v>2.78</v>
      </c>
      <c r="BH99">
        <v>0</v>
      </c>
      <c r="BI99">
        <v>1</v>
      </c>
      <c r="BJ99" t="s">
        <v>128</v>
      </c>
      <c r="BM99">
        <v>26</v>
      </c>
      <c r="BN99">
        <v>0</v>
      </c>
      <c r="BO99" t="s">
        <v>125</v>
      </c>
      <c r="BP99">
        <v>1</v>
      </c>
      <c r="BQ99">
        <v>2</v>
      </c>
      <c r="BR99">
        <v>0</v>
      </c>
      <c r="BS99">
        <v>8.6</v>
      </c>
      <c r="BT99">
        <v>1</v>
      </c>
      <c r="BU99">
        <v>1</v>
      </c>
      <c r="BV99">
        <v>1</v>
      </c>
      <c r="BW99">
        <v>1</v>
      </c>
      <c r="BX99">
        <v>1</v>
      </c>
      <c r="CF99">
        <v>0</v>
      </c>
      <c r="CG99">
        <v>0</v>
      </c>
      <c r="CM99">
        <v>0</v>
      </c>
      <c r="CO99">
        <v>0</v>
      </c>
      <c r="CP99">
        <f t="shared" si="50"/>
        <v>1974.12</v>
      </c>
      <c r="CQ99">
        <f t="shared" si="51"/>
        <v>104.6114</v>
      </c>
      <c r="CR99">
        <f t="shared" si="52"/>
        <v>93.8304</v>
      </c>
      <c r="CS99">
        <f t="shared" si="53"/>
        <v>5.848</v>
      </c>
      <c r="CT99">
        <f t="shared" si="54"/>
        <v>788.62</v>
      </c>
      <c r="CU99">
        <f t="shared" si="55"/>
        <v>0</v>
      </c>
      <c r="CV99">
        <f t="shared" si="56"/>
        <v>9.86</v>
      </c>
      <c r="CW99">
        <f t="shared" si="57"/>
        <v>0.1</v>
      </c>
      <c r="CX99">
        <f t="shared" si="58"/>
        <v>0</v>
      </c>
      <c r="CY99">
        <f t="shared" si="59"/>
        <v>1433.8594560000001</v>
      </c>
      <c r="CZ99">
        <f t="shared" si="60"/>
        <v>794.47</v>
      </c>
      <c r="DN99">
        <v>0</v>
      </c>
      <c r="DO99">
        <v>0</v>
      </c>
      <c r="DP99">
        <v>1</v>
      </c>
      <c r="DQ99">
        <v>1</v>
      </c>
      <c r="DR99">
        <v>1</v>
      </c>
      <c r="DS99">
        <v>1</v>
      </c>
      <c r="DT99">
        <v>1</v>
      </c>
      <c r="DU99">
        <v>1013</v>
      </c>
      <c r="DV99" t="s">
        <v>127</v>
      </c>
      <c r="DW99" t="s">
        <v>127</v>
      </c>
      <c r="DX99">
        <v>1</v>
      </c>
      <c r="EE99">
        <v>5677339</v>
      </c>
      <c r="EF99">
        <v>2</v>
      </c>
      <c r="EG99" t="s">
        <v>23</v>
      </c>
      <c r="EH99">
        <v>0</v>
      </c>
      <c r="EJ99">
        <v>1</v>
      </c>
      <c r="EK99">
        <v>26</v>
      </c>
      <c r="EL99" t="s">
        <v>123</v>
      </c>
      <c r="EM99" t="s">
        <v>124</v>
      </c>
    </row>
    <row r="100" spans="1:144" ht="12.75">
      <c r="A100">
        <v>18</v>
      </c>
      <c r="B100">
        <v>1</v>
      </c>
      <c r="E100" t="s">
        <v>129</v>
      </c>
      <c r="F100" t="s">
        <v>130</v>
      </c>
      <c r="G100" t="s">
        <v>131</v>
      </c>
      <c r="H100" t="s">
        <v>57</v>
      </c>
      <c r="I100">
        <f>I99*J100</f>
        <v>0.05</v>
      </c>
      <c r="J100">
        <v>0.025</v>
      </c>
      <c r="O100">
        <f t="shared" si="30"/>
        <v>1460.61</v>
      </c>
      <c r="P100">
        <f t="shared" si="31"/>
        <v>1460.61</v>
      </c>
      <c r="Q100">
        <f t="shared" si="32"/>
        <v>0</v>
      </c>
      <c r="R100">
        <f t="shared" si="33"/>
        <v>0</v>
      </c>
      <c r="S100">
        <f t="shared" si="34"/>
        <v>0</v>
      </c>
      <c r="T100">
        <f t="shared" si="35"/>
        <v>0</v>
      </c>
      <c r="U100">
        <f t="shared" si="36"/>
        <v>0</v>
      </c>
      <c r="V100">
        <f t="shared" si="37"/>
        <v>0</v>
      </c>
      <c r="W100">
        <f t="shared" si="38"/>
        <v>0</v>
      </c>
      <c r="X100">
        <f t="shared" si="39"/>
        <v>0</v>
      </c>
      <c r="Y100">
        <f t="shared" si="40"/>
        <v>0</v>
      </c>
      <c r="AA100">
        <v>0</v>
      </c>
      <c r="AB100">
        <f t="shared" si="41"/>
        <v>10508</v>
      </c>
      <c r="AC100">
        <f t="shared" si="42"/>
        <v>10508</v>
      </c>
      <c r="AD100">
        <f t="shared" si="43"/>
        <v>0</v>
      </c>
      <c r="AE100">
        <f t="shared" si="44"/>
        <v>0</v>
      </c>
      <c r="AF100">
        <f t="shared" si="45"/>
        <v>0</v>
      </c>
      <c r="AG100">
        <f t="shared" si="46"/>
        <v>0</v>
      </c>
      <c r="AH100">
        <f t="shared" si="47"/>
        <v>0</v>
      </c>
      <c r="AI100">
        <f t="shared" si="48"/>
        <v>0</v>
      </c>
      <c r="AJ100">
        <f t="shared" si="49"/>
        <v>0</v>
      </c>
      <c r="AK100">
        <v>0</v>
      </c>
      <c r="AL100">
        <v>10508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90.24</v>
      </c>
      <c r="AU100">
        <v>50</v>
      </c>
      <c r="AV100">
        <v>1</v>
      </c>
      <c r="AW100">
        <v>1</v>
      </c>
      <c r="AX100">
        <v>1</v>
      </c>
      <c r="AY100">
        <v>1</v>
      </c>
      <c r="AZ100">
        <v>7.35</v>
      </c>
      <c r="BA100">
        <v>8.6</v>
      </c>
      <c r="BB100">
        <v>4.32</v>
      </c>
      <c r="BC100">
        <v>2.78</v>
      </c>
      <c r="BH100">
        <v>3</v>
      </c>
      <c r="BI100">
        <v>1</v>
      </c>
      <c r="BJ100" t="s">
        <v>132</v>
      </c>
      <c r="BM100">
        <v>26</v>
      </c>
      <c r="BN100">
        <v>0</v>
      </c>
      <c r="BO100" t="s">
        <v>125</v>
      </c>
      <c r="BP100">
        <v>1</v>
      </c>
      <c r="BQ100">
        <v>2</v>
      </c>
      <c r="BR100">
        <v>0</v>
      </c>
      <c r="BS100">
        <v>8.6</v>
      </c>
      <c r="BT100">
        <v>1</v>
      </c>
      <c r="BU100">
        <v>1</v>
      </c>
      <c r="BV100">
        <v>1</v>
      </c>
      <c r="BW100">
        <v>1</v>
      </c>
      <c r="BX100">
        <v>1</v>
      </c>
      <c r="CF100">
        <v>0</v>
      </c>
      <c r="CG100">
        <v>0</v>
      </c>
      <c r="CM100">
        <v>0</v>
      </c>
      <c r="CO100">
        <v>0</v>
      </c>
      <c r="CP100">
        <f t="shared" si="50"/>
        <v>1460.61</v>
      </c>
      <c r="CQ100">
        <f t="shared" si="51"/>
        <v>29212.239999999998</v>
      </c>
      <c r="CR100">
        <f t="shared" si="52"/>
        <v>0</v>
      </c>
      <c r="CS100">
        <f t="shared" si="53"/>
        <v>0</v>
      </c>
      <c r="CT100">
        <f t="shared" si="54"/>
        <v>0</v>
      </c>
      <c r="CU100">
        <f t="shared" si="55"/>
        <v>0</v>
      </c>
      <c r="CV100">
        <f t="shared" si="56"/>
        <v>0</v>
      </c>
      <c r="CW100">
        <f t="shared" si="57"/>
        <v>0</v>
      </c>
      <c r="CX100">
        <f t="shared" si="58"/>
        <v>0</v>
      </c>
      <c r="CY100">
        <f t="shared" si="59"/>
        <v>0</v>
      </c>
      <c r="CZ100">
        <f t="shared" si="60"/>
        <v>0</v>
      </c>
      <c r="DN100">
        <v>0</v>
      </c>
      <c r="DO100">
        <v>0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1009</v>
      </c>
      <c r="DV100" t="s">
        <v>57</v>
      </c>
      <c r="DW100" t="s">
        <v>57</v>
      </c>
      <c r="DX100">
        <v>1000</v>
      </c>
      <c r="EE100">
        <v>5677339</v>
      </c>
      <c r="EF100">
        <v>2</v>
      </c>
      <c r="EG100" t="s">
        <v>23</v>
      </c>
      <c r="EH100">
        <v>0</v>
      </c>
      <c r="EJ100">
        <v>1</v>
      </c>
      <c r="EK100">
        <v>26</v>
      </c>
      <c r="EL100" t="s">
        <v>123</v>
      </c>
      <c r="EM100" t="s">
        <v>124</v>
      </c>
    </row>
    <row r="101" spans="1:144" ht="12.75">
      <c r="A101">
        <v>17</v>
      </c>
      <c r="B101">
        <v>1</v>
      </c>
      <c r="C101">
        <f>ROW(SmtRes!A76)</f>
        <v>76</v>
      </c>
      <c r="E101" t="s">
        <v>34</v>
      </c>
      <c r="F101" t="s">
        <v>133</v>
      </c>
      <c r="G101" t="s">
        <v>134</v>
      </c>
      <c r="H101" t="s">
        <v>127</v>
      </c>
      <c r="I101">
        <v>2</v>
      </c>
      <c r="J101">
        <v>0</v>
      </c>
      <c r="O101">
        <f t="shared" si="30"/>
        <v>3582.22</v>
      </c>
      <c r="P101">
        <f t="shared" si="31"/>
        <v>1690.57</v>
      </c>
      <c r="Q101">
        <f t="shared" si="32"/>
        <v>219.98</v>
      </c>
      <c r="R101">
        <f t="shared" si="33"/>
        <v>4.64</v>
      </c>
      <c r="S101">
        <f t="shared" si="34"/>
        <v>1671.67</v>
      </c>
      <c r="T101">
        <f t="shared" si="35"/>
        <v>0</v>
      </c>
      <c r="U101">
        <f t="shared" si="36"/>
        <v>23.82</v>
      </c>
      <c r="V101">
        <f t="shared" si="37"/>
        <v>0.56</v>
      </c>
      <c r="W101">
        <f t="shared" si="38"/>
        <v>0</v>
      </c>
      <c r="X101">
        <f t="shared" si="39"/>
        <v>1512.7</v>
      </c>
      <c r="Y101">
        <f t="shared" si="40"/>
        <v>838.16</v>
      </c>
      <c r="AA101">
        <v>0</v>
      </c>
      <c r="AB101">
        <f t="shared" si="41"/>
        <v>452.2</v>
      </c>
      <c r="AC101">
        <f t="shared" si="42"/>
        <v>332.79</v>
      </c>
      <c r="AD101">
        <f t="shared" si="43"/>
        <v>22.22</v>
      </c>
      <c r="AE101">
        <f t="shared" si="44"/>
        <v>0.27</v>
      </c>
      <c r="AF101">
        <f t="shared" si="45"/>
        <v>97.19</v>
      </c>
      <c r="AG101">
        <f t="shared" si="46"/>
        <v>0</v>
      </c>
      <c r="AH101">
        <f t="shared" si="47"/>
        <v>11.91</v>
      </c>
      <c r="AI101">
        <f t="shared" si="48"/>
        <v>0.28</v>
      </c>
      <c r="AJ101">
        <f t="shared" si="49"/>
        <v>0</v>
      </c>
      <c r="AK101">
        <v>452.2</v>
      </c>
      <c r="AL101">
        <v>332.79</v>
      </c>
      <c r="AM101">
        <v>22.22</v>
      </c>
      <c r="AN101">
        <v>0.27</v>
      </c>
      <c r="AO101">
        <v>97.19</v>
      </c>
      <c r="AP101">
        <v>0</v>
      </c>
      <c r="AQ101">
        <v>11.91</v>
      </c>
      <c r="AR101">
        <v>0.28</v>
      </c>
      <c r="AS101">
        <v>0</v>
      </c>
      <c r="AT101">
        <v>90.24</v>
      </c>
      <c r="AU101">
        <v>50</v>
      </c>
      <c r="AV101">
        <v>1</v>
      </c>
      <c r="AW101">
        <v>1</v>
      </c>
      <c r="AX101">
        <v>1</v>
      </c>
      <c r="AY101">
        <v>1</v>
      </c>
      <c r="AZ101">
        <v>4.99</v>
      </c>
      <c r="BA101">
        <v>8.6</v>
      </c>
      <c r="BB101">
        <v>4.95</v>
      </c>
      <c r="BC101">
        <v>2.54</v>
      </c>
      <c r="BH101">
        <v>0</v>
      </c>
      <c r="BI101">
        <v>1</v>
      </c>
      <c r="BJ101" t="s">
        <v>135</v>
      </c>
      <c r="BM101">
        <v>26</v>
      </c>
      <c r="BN101">
        <v>0</v>
      </c>
      <c r="BO101" t="s">
        <v>133</v>
      </c>
      <c r="BP101">
        <v>1</v>
      </c>
      <c r="BQ101">
        <v>2</v>
      </c>
      <c r="BR101">
        <v>0</v>
      </c>
      <c r="BS101">
        <v>8.6</v>
      </c>
      <c r="BT101">
        <v>1</v>
      </c>
      <c r="BU101">
        <v>1</v>
      </c>
      <c r="BV101">
        <v>1</v>
      </c>
      <c r="BW101">
        <v>1</v>
      </c>
      <c r="BX101">
        <v>1</v>
      </c>
      <c r="CF101">
        <v>0</v>
      </c>
      <c r="CG101">
        <v>0</v>
      </c>
      <c r="CM101">
        <v>0</v>
      </c>
      <c r="CO101">
        <v>0</v>
      </c>
      <c r="CP101">
        <f t="shared" si="50"/>
        <v>3582.2200000000003</v>
      </c>
      <c r="CQ101">
        <f t="shared" si="51"/>
        <v>845.2866</v>
      </c>
      <c r="CR101">
        <f t="shared" si="52"/>
        <v>109.989</v>
      </c>
      <c r="CS101">
        <f t="shared" si="53"/>
        <v>2.322</v>
      </c>
      <c r="CT101">
        <f t="shared" si="54"/>
        <v>835.834</v>
      </c>
      <c r="CU101">
        <f t="shared" si="55"/>
        <v>0</v>
      </c>
      <c r="CV101">
        <f t="shared" si="56"/>
        <v>11.91</v>
      </c>
      <c r="CW101">
        <f t="shared" si="57"/>
        <v>0.28</v>
      </c>
      <c r="CX101">
        <f t="shared" si="58"/>
        <v>0</v>
      </c>
      <c r="CY101">
        <f t="shared" si="59"/>
        <v>1512.7021439999999</v>
      </c>
      <c r="CZ101">
        <f t="shared" si="60"/>
        <v>838.1550000000002</v>
      </c>
      <c r="DN101">
        <v>0</v>
      </c>
      <c r="DO101">
        <v>0</v>
      </c>
      <c r="DP101">
        <v>1</v>
      </c>
      <c r="DQ101">
        <v>1</v>
      </c>
      <c r="DR101">
        <v>1</v>
      </c>
      <c r="DS101">
        <v>1</v>
      </c>
      <c r="DT101">
        <v>1</v>
      </c>
      <c r="DU101">
        <v>1013</v>
      </c>
      <c r="DV101" t="s">
        <v>127</v>
      </c>
      <c r="DW101" t="s">
        <v>127</v>
      </c>
      <c r="DX101">
        <v>1</v>
      </c>
      <c r="EE101">
        <v>5677339</v>
      </c>
      <c r="EF101">
        <v>2</v>
      </c>
      <c r="EG101" t="s">
        <v>23</v>
      </c>
      <c r="EH101">
        <v>0</v>
      </c>
      <c r="EJ101">
        <v>1</v>
      </c>
      <c r="EK101">
        <v>26</v>
      </c>
      <c r="EL101" t="s">
        <v>123</v>
      </c>
      <c r="EM101" t="s">
        <v>124</v>
      </c>
    </row>
    <row r="102" spans="1:144" ht="12.75">
      <c r="A102">
        <v>17</v>
      </c>
      <c r="B102">
        <v>1</v>
      </c>
      <c r="C102">
        <f>ROW(SmtRes!A80)</f>
        <v>80</v>
      </c>
      <c r="E102" t="s">
        <v>42</v>
      </c>
      <c r="F102" t="s">
        <v>136</v>
      </c>
      <c r="G102" t="s">
        <v>137</v>
      </c>
      <c r="H102" t="s">
        <v>127</v>
      </c>
      <c r="I102">
        <v>2</v>
      </c>
      <c r="J102">
        <v>0</v>
      </c>
      <c r="O102">
        <f t="shared" si="30"/>
        <v>380.76</v>
      </c>
      <c r="P102">
        <f t="shared" si="31"/>
        <v>0</v>
      </c>
      <c r="Q102">
        <f t="shared" si="32"/>
        <v>121.56</v>
      </c>
      <c r="R102">
        <f t="shared" si="33"/>
        <v>0</v>
      </c>
      <c r="S102">
        <f t="shared" si="34"/>
        <v>259.2</v>
      </c>
      <c r="T102">
        <f t="shared" si="35"/>
        <v>0</v>
      </c>
      <c r="U102">
        <f t="shared" si="36"/>
        <v>3.36</v>
      </c>
      <c r="V102">
        <f t="shared" si="37"/>
        <v>0.32</v>
      </c>
      <c r="W102">
        <f t="shared" si="38"/>
        <v>0</v>
      </c>
      <c r="X102">
        <f t="shared" si="39"/>
        <v>233.9</v>
      </c>
      <c r="Y102">
        <f t="shared" si="40"/>
        <v>129.6</v>
      </c>
      <c r="AA102">
        <v>0</v>
      </c>
      <c r="AB102">
        <f t="shared" si="41"/>
        <v>27.130000000000003</v>
      </c>
      <c r="AC102">
        <f t="shared" si="42"/>
        <v>0</v>
      </c>
      <c r="AD102">
        <f t="shared" si="43"/>
        <v>12.06</v>
      </c>
      <c r="AE102">
        <f t="shared" si="44"/>
        <v>0</v>
      </c>
      <c r="AF102">
        <f t="shared" si="45"/>
        <v>15.07</v>
      </c>
      <c r="AG102">
        <f t="shared" si="46"/>
        <v>0</v>
      </c>
      <c r="AH102">
        <f t="shared" si="47"/>
        <v>1.68</v>
      </c>
      <c r="AI102">
        <f t="shared" si="48"/>
        <v>0.16</v>
      </c>
      <c r="AJ102">
        <f t="shared" si="49"/>
        <v>0</v>
      </c>
      <c r="AK102">
        <v>27.13</v>
      </c>
      <c r="AL102">
        <v>0</v>
      </c>
      <c r="AM102">
        <v>12.06</v>
      </c>
      <c r="AN102">
        <v>0</v>
      </c>
      <c r="AO102">
        <v>15.07</v>
      </c>
      <c r="AP102">
        <v>0</v>
      </c>
      <c r="AQ102">
        <v>1.68</v>
      </c>
      <c r="AR102">
        <v>0.16</v>
      </c>
      <c r="AS102">
        <v>0</v>
      </c>
      <c r="AT102">
        <v>90.24</v>
      </c>
      <c r="AU102">
        <v>50</v>
      </c>
      <c r="AV102">
        <v>1</v>
      </c>
      <c r="AW102">
        <v>1</v>
      </c>
      <c r="AX102">
        <v>1</v>
      </c>
      <c r="AY102">
        <v>1</v>
      </c>
      <c r="AZ102">
        <v>7.57</v>
      </c>
      <c r="BA102">
        <v>8.6</v>
      </c>
      <c r="BB102">
        <v>5.04</v>
      </c>
      <c r="BC102">
        <v>1</v>
      </c>
      <c r="BH102">
        <v>0</v>
      </c>
      <c r="BI102">
        <v>1</v>
      </c>
      <c r="BJ102" t="s">
        <v>138</v>
      </c>
      <c r="BM102">
        <v>26</v>
      </c>
      <c r="BN102">
        <v>0</v>
      </c>
      <c r="BO102" t="s">
        <v>136</v>
      </c>
      <c r="BP102">
        <v>1</v>
      </c>
      <c r="BQ102">
        <v>2</v>
      </c>
      <c r="BR102">
        <v>0</v>
      </c>
      <c r="BS102">
        <v>8.6</v>
      </c>
      <c r="BT102">
        <v>1</v>
      </c>
      <c r="BU102">
        <v>1</v>
      </c>
      <c r="BV102">
        <v>1</v>
      </c>
      <c r="BW102">
        <v>1</v>
      </c>
      <c r="BX102">
        <v>1</v>
      </c>
      <c r="CF102">
        <v>0</v>
      </c>
      <c r="CG102">
        <v>0</v>
      </c>
      <c r="CM102">
        <v>0</v>
      </c>
      <c r="CO102">
        <v>0</v>
      </c>
      <c r="CP102">
        <f t="shared" si="50"/>
        <v>380.76</v>
      </c>
      <c r="CQ102">
        <f t="shared" si="51"/>
        <v>0</v>
      </c>
      <c r="CR102">
        <f t="shared" si="52"/>
        <v>60.7824</v>
      </c>
      <c r="CS102">
        <f t="shared" si="53"/>
        <v>0</v>
      </c>
      <c r="CT102">
        <f t="shared" si="54"/>
        <v>129.602</v>
      </c>
      <c r="CU102">
        <f t="shared" si="55"/>
        <v>0</v>
      </c>
      <c r="CV102">
        <f t="shared" si="56"/>
        <v>1.68</v>
      </c>
      <c r="CW102">
        <f t="shared" si="57"/>
        <v>0.16</v>
      </c>
      <c r="CX102">
        <f t="shared" si="58"/>
        <v>0</v>
      </c>
      <c r="CY102">
        <f t="shared" si="59"/>
        <v>233.90207999999998</v>
      </c>
      <c r="CZ102">
        <f t="shared" si="60"/>
        <v>129.6</v>
      </c>
      <c r="DN102">
        <v>0</v>
      </c>
      <c r="DO102">
        <v>0</v>
      </c>
      <c r="DP102">
        <v>1</v>
      </c>
      <c r="DQ102">
        <v>1</v>
      </c>
      <c r="DR102">
        <v>1</v>
      </c>
      <c r="DS102">
        <v>1</v>
      </c>
      <c r="DT102">
        <v>1</v>
      </c>
      <c r="DU102">
        <v>1013</v>
      </c>
      <c r="DV102" t="s">
        <v>127</v>
      </c>
      <c r="DW102" t="s">
        <v>127</v>
      </c>
      <c r="DX102">
        <v>1</v>
      </c>
      <c r="EE102">
        <v>5677339</v>
      </c>
      <c r="EF102">
        <v>2</v>
      </c>
      <c r="EG102" t="s">
        <v>23</v>
      </c>
      <c r="EH102">
        <v>0</v>
      </c>
      <c r="EJ102">
        <v>1</v>
      </c>
      <c r="EK102">
        <v>26</v>
      </c>
      <c r="EL102" t="s">
        <v>123</v>
      </c>
      <c r="EM102" t="s">
        <v>124</v>
      </c>
    </row>
    <row r="103" spans="1:144" ht="12.75">
      <c r="A103">
        <v>18</v>
      </c>
      <c r="B103">
        <v>1</v>
      </c>
      <c r="E103" t="s">
        <v>139</v>
      </c>
      <c r="F103" t="s">
        <v>140</v>
      </c>
      <c r="G103" t="s">
        <v>141</v>
      </c>
      <c r="H103" t="s">
        <v>57</v>
      </c>
      <c r="I103">
        <f>I102*J103</f>
        <v>2.16</v>
      </c>
      <c r="J103">
        <v>1.08</v>
      </c>
      <c r="O103">
        <f t="shared" si="30"/>
        <v>14796</v>
      </c>
      <c r="P103">
        <f t="shared" si="31"/>
        <v>14796</v>
      </c>
      <c r="Q103">
        <f t="shared" si="32"/>
        <v>0</v>
      </c>
      <c r="R103">
        <f t="shared" si="33"/>
        <v>0</v>
      </c>
      <c r="S103">
        <f t="shared" si="34"/>
        <v>0</v>
      </c>
      <c r="T103">
        <f t="shared" si="35"/>
        <v>0</v>
      </c>
      <c r="U103">
        <f t="shared" si="36"/>
        <v>0</v>
      </c>
      <c r="V103">
        <f t="shared" si="37"/>
        <v>0</v>
      </c>
      <c r="W103">
        <f t="shared" si="38"/>
        <v>0</v>
      </c>
      <c r="X103">
        <f t="shared" si="39"/>
        <v>0</v>
      </c>
      <c r="Y103">
        <f t="shared" si="40"/>
        <v>0</v>
      </c>
      <c r="AA103">
        <v>0</v>
      </c>
      <c r="AB103">
        <f t="shared" si="41"/>
        <v>6850</v>
      </c>
      <c r="AC103">
        <f t="shared" si="42"/>
        <v>6850</v>
      </c>
      <c r="AD103">
        <f t="shared" si="43"/>
        <v>0</v>
      </c>
      <c r="AE103">
        <f t="shared" si="44"/>
        <v>0</v>
      </c>
      <c r="AF103">
        <f t="shared" si="45"/>
        <v>0</v>
      </c>
      <c r="AG103">
        <f t="shared" si="46"/>
        <v>0</v>
      </c>
      <c r="AH103">
        <f t="shared" si="47"/>
        <v>0</v>
      </c>
      <c r="AI103">
        <f t="shared" si="48"/>
        <v>0</v>
      </c>
      <c r="AJ103">
        <f t="shared" si="49"/>
        <v>0</v>
      </c>
      <c r="AK103">
        <v>0</v>
      </c>
      <c r="AL103">
        <v>6850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90.24</v>
      </c>
      <c r="AU103">
        <v>50</v>
      </c>
      <c r="AV103">
        <v>1</v>
      </c>
      <c r="AW103">
        <v>1</v>
      </c>
      <c r="AX103">
        <v>1</v>
      </c>
      <c r="AY103">
        <v>1</v>
      </c>
      <c r="AZ103">
        <v>7.57</v>
      </c>
      <c r="BA103">
        <v>8.6</v>
      </c>
      <c r="BB103">
        <v>5.04</v>
      </c>
      <c r="BC103">
        <v>1</v>
      </c>
      <c r="BH103">
        <v>3</v>
      </c>
      <c r="BI103">
        <v>1</v>
      </c>
      <c r="BJ103" t="s">
        <v>142</v>
      </c>
      <c r="BM103">
        <v>26</v>
      </c>
      <c r="BN103">
        <v>0</v>
      </c>
      <c r="BO103" t="s">
        <v>136</v>
      </c>
      <c r="BP103">
        <v>1</v>
      </c>
      <c r="BQ103">
        <v>2</v>
      </c>
      <c r="BR103">
        <v>0</v>
      </c>
      <c r="BS103">
        <v>8.6</v>
      </c>
      <c r="BT103">
        <v>1</v>
      </c>
      <c r="BU103">
        <v>1</v>
      </c>
      <c r="BV103">
        <v>1</v>
      </c>
      <c r="BW103">
        <v>1</v>
      </c>
      <c r="BX103">
        <v>1</v>
      </c>
      <c r="CF103">
        <v>0</v>
      </c>
      <c r="CG103">
        <v>0</v>
      </c>
      <c r="CM103">
        <v>0</v>
      </c>
      <c r="CO103">
        <v>0</v>
      </c>
      <c r="CP103">
        <f t="shared" si="50"/>
        <v>14796</v>
      </c>
      <c r="CQ103">
        <f t="shared" si="51"/>
        <v>6850</v>
      </c>
      <c r="CR103">
        <f t="shared" si="52"/>
        <v>0</v>
      </c>
      <c r="CS103">
        <f t="shared" si="53"/>
        <v>0</v>
      </c>
      <c r="CT103">
        <f t="shared" si="54"/>
        <v>0</v>
      </c>
      <c r="CU103">
        <f t="shared" si="55"/>
        <v>0</v>
      </c>
      <c r="CV103">
        <f t="shared" si="56"/>
        <v>0</v>
      </c>
      <c r="CW103">
        <f t="shared" si="57"/>
        <v>0</v>
      </c>
      <c r="CX103">
        <f t="shared" si="58"/>
        <v>0</v>
      </c>
      <c r="CY103">
        <f t="shared" si="59"/>
        <v>0</v>
      </c>
      <c r="CZ103">
        <f t="shared" si="60"/>
        <v>0</v>
      </c>
      <c r="DN103">
        <v>0</v>
      </c>
      <c r="DO103">
        <v>0</v>
      </c>
      <c r="DP103">
        <v>1</v>
      </c>
      <c r="DQ103">
        <v>1</v>
      </c>
      <c r="DR103">
        <v>1</v>
      </c>
      <c r="DS103">
        <v>1</v>
      </c>
      <c r="DT103">
        <v>1</v>
      </c>
      <c r="DU103">
        <v>1009</v>
      </c>
      <c r="DV103" t="s">
        <v>57</v>
      </c>
      <c r="DW103" t="s">
        <v>57</v>
      </c>
      <c r="DX103">
        <v>1000</v>
      </c>
      <c r="EE103">
        <v>5677339</v>
      </c>
      <c r="EF103">
        <v>2</v>
      </c>
      <c r="EG103" t="s">
        <v>23</v>
      </c>
      <c r="EH103">
        <v>0</v>
      </c>
      <c r="EJ103">
        <v>1</v>
      </c>
      <c r="EK103">
        <v>26</v>
      </c>
      <c r="EL103" t="s">
        <v>123</v>
      </c>
      <c r="EM103" t="s">
        <v>124</v>
      </c>
    </row>
    <row r="104" spans="1:144" ht="12.75">
      <c r="A104">
        <v>17</v>
      </c>
      <c r="B104">
        <v>1</v>
      </c>
      <c r="C104">
        <f>ROW(SmtRes!A84)</f>
        <v>84</v>
      </c>
      <c r="E104" t="s">
        <v>46</v>
      </c>
      <c r="F104" t="s">
        <v>143</v>
      </c>
      <c r="G104" t="s">
        <v>144</v>
      </c>
      <c r="H104" t="s">
        <v>145</v>
      </c>
      <c r="I104">
        <v>2</v>
      </c>
      <c r="J104">
        <v>0</v>
      </c>
      <c r="O104">
        <f t="shared" si="30"/>
        <v>15086.98</v>
      </c>
      <c r="P104">
        <f t="shared" si="31"/>
        <v>92.7</v>
      </c>
      <c r="Q104">
        <f t="shared" si="32"/>
        <v>7685.31</v>
      </c>
      <c r="R104">
        <f t="shared" si="33"/>
        <v>1857.6</v>
      </c>
      <c r="S104">
        <f t="shared" si="34"/>
        <v>7308.97</v>
      </c>
      <c r="T104">
        <f t="shared" si="35"/>
        <v>0</v>
      </c>
      <c r="U104">
        <f t="shared" si="36"/>
        <v>79.8</v>
      </c>
      <c r="V104">
        <f t="shared" si="37"/>
        <v>16</v>
      </c>
      <c r="W104">
        <f t="shared" si="38"/>
        <v>0</v>
      </c>
      <c r="X104">
        <f t="shared" si="39"/>
        <v>8271.91</v>
      </c>
      <c r="Y104">
        <f t="shared" si="40"/>
        <v>4583.29</v>
      </c>
      <c r="AA104">
        <v>0</v>
      </c>
      <c r="AB104">
        <f t="shared" si="41"/>
        <v>1162.35</v>
      </c>
      <c r="AC104">
        <f t="shared" si="42"/>
        <v>11.01</v>
      </c>
      <c r="AD104">
        <f t="shared" si="43"/>
        <v>726.4</v>
      </c>
      <c r="AE104">
        <f t="shared" si="44"/>
        <v>108</v>
      </c>
      <c r="AF104">
        <f t="shared" si="45"/>
        <v>424.94</v>
      </c>
      <c r="AG104">
        <f t="shared" si="46"/>
        <v>0</v>
      </c>
      <c r="AH104">
        <f t="shared" si="47"/>
        <v>39.9</v>
      </c>
      <c r="AI104">
        <f t="shared" si="48"/>
        <v>8</v>
      </c>
      <c r="AJ104">
        <f t="shared" si="49"/>
        <v>0</v>
      </c>
      <c r="AK104">
        <v>1162.35</v>
      </c>
      <c r="AL104">
        <v>11.01</v>
      </c>
      <c r="AM104">
        <v>726.4</v>
      </c>
      <c r="AN104">
        <v>108</v>
      </c>
      <c r="AO104">
        <v>424.94</v>
      </c>
      <c r="AP104">
        <v>0</v>
      </c>
      <c r="AQ104">
        <v>39.9</v>
      </c>
      <c r="AR104">
        <v>8</v>
      </c>
      <c r="AS104">
        <v>0</v>
      </c>
      <c r="AT104">
        <v>90.24</v>
      </c>
      <c r="AU104">
        <v>50</v>
      </c>
      <c r="AV104">
        <v>1</v>
      </c>
      <c r="AW104">
        <v>1</v>
      </c>
      <c r="AX104">
        <v>1</v>
      </c>
      <c r="AY104">
        <v>1</v>
      </c>
      <c r="AZ104">
        <v>7.2</v>
      </c>
      <c r="BA104">
        <v>8.6</v>
      </c>
      <c r="BB104">
        <v>5.29</v>
      </c>
      <c r="BC104">
        <v>4.21</v>
      </c>
      <c r="BH104">
        <v>0</v>
      </c>
      <c r="BI104">
        <v>1</v>
      </c>
      <c r="BJ104" t="s">
        <v>146</v>
      </c>
      <c r="BM104">
        <v>26</v>
      </c>
      <c r="BN104">
        <v>0</v>
      </c>
      <c r="BO104" t="s">
        <v>143</v>
      </c>
      <c r="BP104">
        <v>1</v>
      </c>
      <c r="BQ104">
        <v>2</v>
      </c>
      <c r="BR104">
        <v>0</v>
      </c>
      <c r="BS104">
        <v>8.6</v>
      </c>
      <c r="BT104">
        <v>1</v>
      </c>
      <c r="BU104">
        <v>1</v>
      </c>
      <c r="BV104">
        <v>1</v>
      </c>
      <c r="BW104">
        <v>1</v>
      </c>
      <c r="BX104">
        <v>1</v>
      </c>
      <c r="CF104">
        <v>0</v>
      </c>
      <c r="CG104">
        <v>0</v>
      </c>
      <c r="CM104">
        <v>0</v>
      </c>
      <c r="CO104">
        <v>0</v>
      </c>
      <c r="CP104">
        <f t="shared" si="50"/>
        <v>15086.98</v>
      </c>
      <c r="CQ104">
        <f t="shared" si="51"/>
        <v>46.3521</v>
      </c>
      <c r="CR104">
        <f t="shared" si="52"/>
        <v>3842.656</v>
      </c>
      <c r="CS104">
        <f t="shared" si="53"/>
        <v>928.8</v>
      </c>
      <c r="CT104">
        <f t="shared" si="54"/>
        <v>3654.484</v>
      </c>
      <c r="CU104">
        <f t="shared" si="55"/>
        <v>0</v>
      </c>
      <c r="CV104">
        <f t="shared" si="56"/>
        <v>39.9</v>
      </c>
      <c r="CW104">
        <f t="shared" si="57"/>
        <v>8</v>
      </c>
      <c r="CX104">
        <f t="shared" si="58"/>
        <v>0</v>
      </c>
      <c r="CY104">
        <f t="shared" si="59"/>
        <v>8271.912767999998</v>
      </c>
      <c r="CZ104">
        <f t="shared" si="60"/>
        <v>4583.285</v>
      </c>
      <c r="DN104">
        <v>0</v>
      </c>
      <c r="DO104">
        <v>0</v>
      </c>
      <c r="DP104">
        <v>1</v>
      </c>
      <c r="DQ104">
        <v>1</v>
      </c>
      <c r="DR104">
        <v>1</v>
      </c>
      <c r="DS104">
        <v>1</v>
      </c>
      <c r="DT104">
        <v>1</v>
      </c>
      <c r="DU104">
        <v>1013</v>
      </c>
      <c r="DV104" t="s">
        <v>145</v>
      </c>
      <c r="DW104" t="s">
        <v>145</v>
      </c>
      <c r="DX104">
        <v>1</v>
      </c>
      <c r="EE104">
        <v>5677339</v>
      </c>
      <c r="EF104">
        <v>2</v>
      </c>
      <c r="EG104" t="s">
        <v>23</v>
      </c>
      <c r="EH104">
        <v>0</v>
      </c>
      <c r="EJ104">
        <v>1</v>
      </c>
      <c r="EK104">
        <v>26</v>
      </c>
      <c r="EL104" t="s">
        <v>123</v>
      </c>
      <c r="EM104" t="s">
        <v>124</v>
      </c>
    </row>
    <row r="105" spans="1:144" ht="12.75">
      <c r="A105">
        <v>18</v>
      </c>
      <c r="B105">
        <v>1</v>
      </c>
      <c r="E105" t="s">
        <v>147</v>
      </c>
      <c r="F105" t="s">
        <v>148</v>
      </c>
      <c r="G105" t="s">
        <v>149</v>
      </c>
      <c r="H105" t="s">
        <v>150</v>
      </c>
      <c r="I105">
        <f>I104*J105</f>
        <v>51.2</v>
      </c>
      <c r="J105">
        <v>25.6</v>
      </c>
      <c r="O105">
        <f t="shared" si="30"/>
        <v>92.69</v>
      </c>
      <c r="P105">
        <f t="shared" si="31"/>
        <v>92.69</v>
      </c>
      <c r="Q105">
        <f t="shared" si="32"/>
        <v>0</v>
      </c>
      <c r="R105">
        <f t="shared" si="33"/>
        <v>0</v>
      </c>
      <c r="S105">
        <f t="shared" si="34"/>
        <v>0</v>
      </c>
      <c r="T105">
        <f t="shared" si="35"/>
        <v>0</v>
      </c>
      <c r="U105">
        <f t="shared" si="36"/>
        <v>0</v>
      </c>
      <c r="V105">
        <f t="shared" si="37"/>
        <v>0</v>
      </c>
      <c r="W105">
        <f t="shared" si="38"/>
        <v>0</v>
      </c>
      <c r="X105">
        <f t="shared" si="39"/>
        <v>0</v>
      </c>
      <c r="Y105">
        <f t="shared" si="40"/>
        <v>0</v>
      </c>
      <c r="AA105">
        <v>0</v>
      </c>
      <c r="AB105">
        <f t="shared" si="41"/>
        <v>0.43</v>
      </c>
      <c r="AC105">
        <f t="shared" si="42"/>
        <v>0.43</v>
      </c>
      <c r="AD105">
        <f t="shared" si="43"/>
        <v>0</v>
      </c>
      <c r="AE105">
        <f t="shared" si="44"/>
        <v>0</v>
      </c>
      <c r="AF105">
        <f t="shared" si="45"/>
        <v>0</v>
      </c>
      <c r="AG105">
        <f t="shared" si="46"/>
        <v>0</v>
      </c>
      <c r="AH105">
        <f t="shared" si="47"/>
        <v>0</v>
      </c>
      <c r="AI105">
        <f t="shared" si="48"/>
        <v>0</v>
      </c>
      <c r="AJ105">
        <f t="shared" si="49"/>
        <v>0</v>
      </c>
      <c r="AK105">
        <v>0</v>
      </c>
      <c r="AL105">
        <v>0.43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90.24</v>
      </c>
      <c r="AU105">
        <v>50</v>
      </c>
      <c r="AV105">
        <v>1</v>
      </c>
      <c r="AW105">
        <v>1</v>
      </c>
      <c r="AX105">
        <v>1</v>
      </c>
      <c r="AY105">
        <v>1</v>
      </c>
      <c r="AZ105">
        <v>7.2</v>
      </c>
      <c r="BA105">
        <v>8.6</v>
      </c>
      <c r="BB105">
        <v>5.29</v>
      </c>
      <c r="BC105">
        <v>4.21</v>
      </c>
      <c r="BH105">
        <v>3</v>
      </c>
      <c r="BI105">
        <v>1</v>
      </c>
      <c r="BJ105" t="s">
        <v>151</v>
      </c>
      <c r="BM105">
        <v>26</v>
      </c>
      <c r="BN105">
        <v>0</v>
      </c>
      <c r="BO105" t="s">
        <v>143</v>
      </c>
      <c r="BP105">
        <v>1</v>
      </c>
      <c r="BQ105">
        <v>2</v>
      </c>
      <c r="BR105">
        <v>0</v>
      </c>
      <c r="BS105">
        <v>8.6</v>
      </c>
      <c r="BT105">
        <v>1</v>
      </c>
      <c r="BU105">
        <v>1</v>
      </c>
      <c r="BV105">
        <v>1</v>
      </c>
      <c r="BW105">
        <v>1</v>
      </c>
      <c r="BX105">
        <v>1</v>
      </c>
      <c r="CF105">
        <v>0</v>
      </c>
      <c r="CG105">
        <v>0</v>
      </c>
      <c r="CM105">
        <v>0</v>
      </c>
      <c r="CO105">
        <v>0</v>
      </c>
      <c r="CP105">
        <f t="shared" si="50"/>
        <v>92.69</v>
      </c>
      <c r="CQ105">
        <f t="shared" si="51"/>
        <v>1.8103</v>
      </c>
      <c r="CR105">
        <f t="shared" si="52"/>
        <v>0</v>
      </c>
      <c r="CS105">
        <f t="shared" si="53"/>
        <v>0</v>
      </c>
      <c r="CT105">
        <f t="shared" si="54"/>
        <v>0</v>
      </c>
      <c r="CU105">
        <f t="shared" si="55"/>
        <v>0</v>
      </c>
      <c r="CV105">
        <f t="shared" si="56"/>
        <v>0</v>
      </c>
      <c r="CW105">
        <f t="shared" si="57"/>
        <v>0</v>
      </c>
      <c r="CX105">
        <f t="shared" si="58"/>
        <v>0</v>
      </c>
      <c r="CY105">
        <f t="shared" si="59"/>
        <v>0</v>
      </c>
      <c r="CZ105">
        <f t="shared" si="60"/>
        <v>0</v>
      </c>
      <c r="DN105">
        <v>0</v>
      </c>
      <c r="DO105">
        <v>0</v>
      </c>
      <c r="DP105">
        <v>1</v>
      </c>
      <c r="DQ105">
        <v>1</v>
      </c>
      <c r="DR105">
        <v>1</v>
      </c>
      <c r="DS105">
        <v>1</v>
      </c>
      <c r="DT105">
        <v>1</v>
      </c>
      <c r="DU105">
        <v>1013</v>
      </c>
      <c r="DV105" t="s">
        <v>150</v>
      </c>
      <c r="DW105" t="s">
        <v>150</v>
      </c>
      <c r="DX105">
        <v>1</v>
      </c>
      <c r="EE105">
        <v>5677339</v>
      </c>
      <c r="EF105">
        <v>2</v>
      </c>
      <c r="EG105" t="s">
        <v>23</v>
      </c>
      <c r="EH105">
        <v>0</v>
      </c>
      <c r="EJ105">
        <v>1</v>
      </c>
      <c r="EK105">
        <v>26</v>
      </c>
      <c r="EL105" t="s">
        <v>123</v>
      </c>
      <c r="EM105" t="s">
        <v>124</v>
      </c>
    </row>
    <row r="106" spans="1:144" ht="12.75">
      <c r="A106">
        <v>17</v>
      </c>
      <c r="B106">
        <v>1</v>
      </c>
      <c r="C106">
        <f>ROW(SmtRes!A96)</f>
        <v>96</v>
      </c>
      <c r="E106" t="s">
        <v>54</v>
      </c>
      <c r="F106" t="s">
        <v>152</v>
      </c>
      <c r="G106" t="s">
        <v>153</v>
      </c>
      <c r="H106" t="s">
        <v>154</v>
      </c>
      <c r="I106">
        <v>8</v>
      </c>
      <c r="J106">
        <v>0</v>
      </c>
      <c r="O106">
        <f t="shared" si="30"/>
        <v>94570.3</v>
      </c>
      <c r="P106">
        <f t="shared" si="31"/>
        <v>41992.13</v>
      </c>
      <c r="Q106">
        <f t="shared" si="32"/>
        <v>11744.68</v>
      </c>
      <c r="R106">
        <f t="shared" si="33"/>
        <v>1438.61</v>
      </c>
      <c r="S106">
        <f t="shared" si="34"/>
        <v>40833.49</v>
      </c>
      <c r="T106">
        <f t="shared" si="35"/>
        <v>0</v>
      </c>
      <c r="U106">
        <f t="shared" si="36"/>
        <v>542.64</v>
      </c>
      <c r="V106">
        <f t="shared" si="37"/>
        <v>20.88</v>
      </c>
      <c r="W106">
        <f t="shared" si="38"/>
        <v>0</v>
      </c>
      <c r="X106">
        <f t="shared" si="39"/>
        <v>38146.34</v>
      </c>
      <c r="Y106">
        <f t="shared" si="40"/>
        <v>21136.05</v>
      </c>
      <c r="AA106">
        <v>0</v>
      </c>
      <c r="AB106">
        <f t="shared" si="41"/>
        <v>2329.4399999999996</v>
      </c>
      <c r="AC106">
        <f t="shared" si="42"/>
        <v>1381.32</v>
      </c>
      <c r="AD106">
        <f t="shared" si="43"/>
        <v>354.61</v>
      </c>
      <c r="AE106">
        <f t="shared" si="44"/>
        <v>20.91</v>
      </c>
      <c r="AF106">
        <f t="shared" si="45"/>
        <v>593.51</v>
      </c>
      <c r="AG106">
        <f t="shared" si="46"/>
        <v>0</v>
      </c>
      <c r="AH106">
        <f t="shared" si="47"/>
        <v>67.83</v>
      </c>
      <c r="AI106">
        <f t="shared" si="48"/>
        <v>2.61</v>
      </c>
      <c r="AJ106">
        <f t="shared" si="49"/>
        <v>0</v>
      </c>
      <c r="AK106">
        <v>2329.44</v>
      </c>
      <c r="AL106">
        <v>1381.32</v>
      </c>
      <c r="AM106">
        <v>354.61</v>
      </c>
      <c r="AN106">
        <v>20.91</v>
      </c>
      <c r="AO106">
        <v>593.51</v>
      </c>
      <c r="AP106">
        <v>0</v>
      </c>
      <c r="AQ106">
        <v>67.83</v>
      </c>
      <c r="AR106">
        <v>2.61</v>
      </c>
      <c r="AS106">
        <v>0</v>
      </c>
      <c r="AT106">
        <v>90.24</v>
      </c>
      <c r="AU106">
        <v>50</v>
      </c>
      <c r="AV106">
        <v>1</v>
      </c>
      <c r="AW106">
        <v>1</v>
      </c>
      <c r="AX106">
        <v>1</v>
      </c>
      <c r="AY106">
        <v>1</v>
      </c>
      <c r="AZ106">
        <v>5.96</v>
      </c>
      <c r="BA106">
        <v>8.6</v>
      </c>
      <c r="BB106">
        <v>4.14</v>
      </c>
      <c r="BC106">
        <v>3.8</v>
      </c>
      <c r="BH106">
        <v>0</v>
      </c>
      <c r="BI106">
        <v>1</v>
      </c>
      <c r="BJ106" t="s">
        <v>155</v>
      </c>
      <c r="BM106">
        <v>26</v>
      </c>
      <c r="BN106">
        <v>0</v>
      </c>
      <c r="BO106" t="s">
        <v>152</v>
      </c>
      <c r="BP106">
        <v>1</v>
      </c>
      <c r="BQ106">
        <v>2</v>
      </c>
      <c r="BR106">
        <v>0</v>
      </c>
      <c r="BS106">
        <v>8.6</v>
      </c>
      <c r="BT106">
        <v>1</v>
      </c>
      <c r="BU106">
        <v>1</v>
      </c>
      <c r="BV106">
        <v>1</v>
      </c>
      <c r="BW106">
        <v>1</v>
      </c>
      <c r="BX106">
        <v>1</v>
      </c>
      <c r="CF106">
        <v>0</v>
      </c>
      <c r="CG106">
        <v>0</v>
      </c>
      <c r="CM106">
        <v>0</v>
      </c>
      <c r="CO106">
        <v>0</v>
      </c>
      <c r="CP106">
        <f t="shared" si="50"/>
        <v>94570.29999999999</v>
      </c>
      <c r="CQ106">
        <f t="shared" si="51"/>
        <v>5249.016</v>
      </c>
      <c r="CR106">
        <f t="shared" si="52"/>
        <v>1468.0854</v>
      </c>
      <c r="CS106">
        <f t="shared" si="53"/>
        <v>179.826</v>
      </c>
      <c r="CT106">
        <f t="shared" si="54"/>
        <v>5104.186</v>
      </c>
      <c r="CU106">
        <f t="shared" si="55"/>
        <v>0</v>
      </c>
      <c r="CV106">
        <f t="shared" si="56"/>
        <v>67.83</v>
      </c>
      <c r="CW106">
        <f t="shared" si="57"/>
        <v>2.61</v>
      </c>
      <c r="CX106">
        <f t="shared" si="58"/>
        <v>0</v>
      </c>
      <c r="CY106">
        <f t="shared" si="59"/>
        <v>38146.34303999999</v>
      </c>
      <c r="CZ106">
        <f t="shared" si="60"/>
        <v>21136.05</v>
      </c>
      <c r="DN106">
        <v>0</v>
      </c>
      <c r="DO106">
        <v>0</v>
      </c>
      <c r="DP106">
        <v>1</v>
      </c>
      <c r="DQ106">
        <v>1</v>
      </c>
      <c r="DR106">
        <v>1</v>
      </c>
      <c r="DS106">
        <v>1</v>
      </c>
      <c r="DT106">
        <v>1</v>
      </c>
      <c r="DU106">
        <v>1013</v>
      </c>
      <c r="DV106" t="s">
        <v>154</v>
      </c>
      <c r="DW106" t="s">
        <v>154</v>
      </c>
      <c r="DX106">
        <v>1</v>
      </c>
      <c r="EE106">
        <v>5677339</v>
      </c>
      <c r="EF106">
        <v>2</v>
      </c>
      <c r="EG106" t="s">
        <v>23</v>
      </c>
      <c r="EH106">
        <v>0</v>
      </c>
      <c r="EJ106">
        <v>1</v>
      </c>
      <c r="EK106">
        <v>26</v>
      </c>
      <c r="EL106" t="s">
        <v>123</v>
      </c>
      <c r="EM106" t="s">
        <v>124</v>
      </c>
    </row>
    <row r="108" spans="1:39" ht="12.75">
      <c r="A108" s="2">
        <v>51</v>
      </c>
      <c r="B108" s="2">
        <f>B94</f>
        <v>1</v>
      </c>
      <c r="C108" s="2">
        <f>A94</f>
        <v>4</v>
      </c>
      <c r="D108" s="2">
        <f>ROW(A94)</f>
        <v>94</v>
      </c>
      <c r="E108" s="2"/>
      <c r="F108" s="2" t="str">
        <f>IF(F94&lt;&gt;"",F94,"")</f>
        <v>Новый раздел</v>
      </c>
      <c r="G108" s="2" t="str">
        <f>IF(G94&lt;&gt;"",G94,"")</f>
        <v>Устройство подкрановых путей</v>
      </c>
      <c r="H108" s="2"/>
      <c r="I108" s="2"/>
      <c r="J108" s="2"/>
      <c r="K108" s="2"/>
      <c r="L108" s="2"/>
      <c r="M108" s="2"/>
      <c r="N108" s="2"/>
      <c r="O108" s="2">
        <f aca="true" t="shared" si="61" ref="O108:Y108">ROUND(AB108,2)</f>
        <v>396324.46</v>
      </c>
      <c r="P108" s="2">
        <f t="shared" si="61"/>
        <v>268067.11</v>
      </c>
      <c r="Q108" s="2">
        <f t="shared" si="61"/>
        <v>64718.14</v>
      </c>
      <c r="R108" s="2">
        <f t="shared" si="61"/>
        <v>15770.51</v>
      </c>
      <c r="S108" s="2">
        <f t="shared" si="61"/>
        <v>63539.21</v>
      </c>
      <c r="T108" s="2">
        <f t="shared" si="61"/>
        <v>0</v>
      </c>
      <c r="U108" s="2">
        <f t="shared" si="61"/>
        <v>832.94</v>
      </c>
      <c r="V108" s="2">
        <f t="shared" si="61"/>
        <v>154.66</v>
      </c>
      <c r="W108" s="2">
        <f t="shared" si="61"/>
        <v>0</v>
      </c>
      <c r="X108" s="2">
        <f t="shared" si="61"/>
        <v>71569.08</v>
      </c>
      <c r="Y108" s="2">
        <f t="shared" si="61"/>
        <v>39654.87</v>
      </c>
      <c r="Z108" s="2"/>
      <c r="AA108" s="2"/>
      <c r="AB108" s="2">
        <f>ROUND(SUMIF(AA98:AA106,"=0",O98:O106),2)</f>
        <v>396324.46</v>
      </c>
      <c r="AC108" s="2">
        <f>ROUND(SUMIF(AA98:AA106,"=0",P98:P106),2)</f>
        <v>268067.11</v>
      </c>
      <c r="AD108" s="2">
        <f>ROUND(SUMIF(AA98:AA106,"=0",Q98:Q106),2)</f>
        <v>64718.14</v>
      </c>
      <c r="AE108" s="2">
        <f>ROUND(SUMIF(AA98:AA106,"=0",R98:R106),2)</f>
        <v>15770.51</v>
      </c>
      <c r="AF108" s="2">
        <f>ROUND(SUMIF(AA98:AA106,"=0",S98:S106),2)</f>
        <v>63539.21</v>
      </c>
      <c r="AG108" s="2">
        <f>ROUND(SUMIF(AA98:AA106,"=0",T98:T106),2)</f>
        <v>0</v>
      </c>
      <c r="AH108" s="2">
        <f>ROUND(SUMIF(AA98:AA106,"=0",U98:U106),2)</f>
        <v>832.94</v>
      </c>
      <c r="AI108" s="2">
        <f>ROUND(SUMIF(AA98:AA106,"=0",V98:V106),2)</f>
        <v>154.66</v>
      </c>
      <c r="AJ108" s="2">
        <f>ROUND(SUMIF(AA98:AA106,"=0",W98:W106),2)</f>
        <v>0</v>
      </c>
      <c r="AK108" s="2">
        <f>ROUND(SUMIF(AA98:AA106,"=0",X98:X106),2)</f>
        <v>71569.08</v>
      </c>
      <c r="AL108" s="2">
        <f>ROUND(SUMIF(AA98:AA106,"=0",Y98:Y106),2)</f>
        <v>39654.87</v>
      </c>
      <c r="AM108" s="2">
        <v>0</v>
      </c>
    </row>
    <row r="110" spans="1:14" ht="12.75">
      <c r="A110" s="3">
        <v>50</v>
      </c>
      <c r="B110" s="3">
        <v>0</v>
      </c>
      <c r="C110" s="3">
        <v>0</v>
      </c>
      <c r="D110" s="3">
        <v>1</v>
      </c>
      <c r="E110" s="3">
        <v>0</v>
      </c>
      <c r="F110" s="3">
        <f>Source!O108</f>
        <v>396324.46</v>
      </c>
      <c r="G110" s="3" t="s">
        <v>60</v>
      </c>
      <c r="H110" s="3" t="s">
        <v>61</v>
      </c>
      <c r="I110" s="3"/>
      <c r="J110" s="3"/>
      <c r="K110" s="3">
        <v>201</v>
      </c>
      <c r="L110" s="3">
        <v>1</v>
      </c>
      <c r="M110" s="3">
        <v>3</v>
      </c>
      <c r="N110" s="3" t="s">
        <v>3</v>
      </c>
    </row>
    <row r="111" spans="1:14" ht="12.75">
      <c r="A111" s="3">
        <v>50</v>
      </c>
      <c r="B111" s="3">
        <v>0</v>
      </c>
      <c r="C111" s="3">
        <v>0</v>
      </c>
      <c r="D111" s="3">
        <v>1</v>
      </c>
      <c r="E111" s="3">
        <v>202</v>
      </c>
      <c r="F111" s="3">
        <f>Source!P108</f>
        <v>268067.11</v>
      </c>
      <c r="G111" s="3" t="s">
        <v>62</v>
      </c>
      <c r="H111" s="3" t="s">
        <v>63</v>
      </c>
      <c r="I111" s="3"/>
      <c r="J111" s="3"/>
      <c r="K111" s="3">
        <v>202</v>
      </c>
      <c r="L111" s="3">
        <v>2</v>
      </c>
      <c r="M111" s="3">
        <v>3</v>
      </c>
      <c r="N111" s="3" t="s">
        <v>3</v>
      </c>
    </row>
    <row r="112" spans="1:14" ht="12.75">
      <c r="A112" s="3">
        <v>50</v>
      </c>
      <c r="B112" s="3">
        <v>0</v>
      </c>
      <c r="C112" s="3">
        <v>0</v>
      </c>
      <c r="D112" s="3">
        <v>1</v>
      </c>
      <c r="E112" s="3">
        <v>203</v>
      </c>
      <c r="F112" s="3">
        <f>Source!Q108</f>
        <v>64718.14</v>
      </c>
      <c r="G112" s="3" t="s">
        <v>64</v>
      </c>
      <c r="H112" s="3" t="s">
        <v>65</v>
      </c>
      <c r="I112" s="3"/>
      <c r="J112" s="3"/>
      <c r="K112" s="3">
        <v>203</v>
      </c>
      <c r="L112" s="3">
        <v>3</v>
      </c>
      <c r="M112" s="3">
        <v>3</v>
      </c>
      <c r="N112" s="3" t="s">
        <v>3</v>
      </c>
    </row>
    <row r="113" spans="1:14" ht="12.75">
      <c r="A113" s="3">
        <v>50</v>
      </c>
      <c r="B113" s="3">
        <v>0</v>
      </c>
      <c r="C113" s="3">
        <v>0</v>
      </c>
      <c r="D113" s="3">
        <v>1</v>
      </c>
      <c r="E113" s="3">
        <v>204</v>
      </c>
      <c r="F113" s="3">
        <f>Source!R108</f>
        <v>15770.51</v>
      </c>
      <c r="G113" s="3" t="s">
        <v>66</v>
      </c>
      <c r="H113" s="3" t="s">
        <v>67</v>
      </c>
      <c r="I113" s="3"/>
      <c r="J113" s="3"/>
      <c r="K113" s="3">
        <v>204</v>
      </c>
      <c r="L113" s="3">
        <v>4</v>
      </c>
      <c r="M113" s="3">
        <v>3</v>
      </c>
      <c r="N113" s="3" t="s">
        <v>3</v>
      </c>
    </row>
    <row r="114" spans="1:14" ht="12.75">
      <c r="A114" s="3">
        <v>50</v>
      </c>
      <c r="B114" s="3">
        <v>0</v>
      </c>
      <c r="C114" s="3">
        <v>0</v>
      </c>
      <c r="D114" s="3">
        <v>1</v>
      </c>
      <c r="E114" s="3">
        <v>0</v>
      </c>
      <c r="F114" s="3">
        <f>Source!S108</f>
        <v>63539.21</v>
      </c>
      <c r="G114" s="3" t="s">
        <v>68</v>
      </c>
      <c r="H114" s="3" t="s">
        <v>69</v>
      </c>
      <c r="I114" s="3"/>
      <c r="J114" s="3"/>
      <c r="K114" s="3">
        <v>205</v>
      </c>
      <c r="L114" s="3">
        <v>5</v>
      </c>
      <c r="M114" s="3">
        <v>3</v>
      </c>
      <c r="N114" s="3" t="s">
        <v>3</v>
      </c>
    </row>
    <row r="115" spans="1:14" ht="12.75">
      <c r="A115" s="3">
        <v>50</v>
      </c>
      <c r="B115" s="3">
        <v>0</v>
      </c>
      <c r="C115" s="3">
        <v>0</v>
      </c>
      <c r="D115" s="3">
        <v>1</v>
      </c>
      <c r="E115" s="3">
        <v>206</v>
      </c>
      <c r="F115" s="3">
        <f>Source!T108</f>
        <v>0</v>
      </c>
      <c r="G115" s="3" t="s">
        <v>70</v>
      </c>
      <c r="H115" s="3" t="s">
        <v>71</v>
      </c>
      <c r="I115" s="3"/>
      <c r="J115" s="3"/>
      <c r="K115" s="3">
        <v>206</v>
      </c>
      <c r="L115" s="3">
        <v>6</v>
      </c>
      <c r="M115" s="3">
        <v>3</v>
      </c>
      <c r="N115" s="3" t="s">
        <v>3</v>
      </c>
    </row>
    <row r="116" spans="1:14" ht="12.75">
      <c r="A116" s="3">
        <v>50</v>
      </c>
      <c r="B116" s="3">
        <v>0</v>
      </c>
      <c r="C116" s="3">
        <v>0</v>
      </c>
      <c r="D116" s="3">
        <v>1</v>
      </c>
      <c r="E116" s="3">
        <v>207</v>
      </c>
      <c r="F116" s="3">
        <f>Source!U108</f>
        <v>832.94</v>
      </c>
      <c r="G116" s="3" t="s">
        <v>72</v>
      </c>
      <c r="H116" s="3" t="s">
        <v>73</v>
      </c>
      <c r="I116" s="3"/>
      <c r="J116" s="3"/>
      <c r="K116" s="3">
        <v>207</v>
      </c>
      <c r="L116" s="3">
        <v>7</v>
      </c>
      <c r="M116" s="3">
        <v>3</v>
      </c>
      <c r="N116" s="3" t="s">
        <v>3</v>
      </c>
    </row>
    <row r="117" spans="1:14" ht="12.75">
      <c r="A117" s="3">
        <v>50</v>
      </c>
      <c r="B117" s="3">
        <v>0</v>
      </c>
      <c r="C117" s="3">
        <v>0</v>
      </c>
      <c r="D117" s="3">
        <v>1</v>
      </c>
      <c r="E117" s="3">
        <v>208</v>
      </c>
      <c r="F117" s="3">
        <f>Source!V108</f>
        <v>154.66</v>
      </c>
      <c r="G117" s="3" t="s">
        <v>74</v>
      </c>
      <c r="H117" s="3" t="s">
        <v>75</v>
      </c>
      <c r="I117" s="3"/>
      <c r="J117" s="3"/>
      <c r="K117" s="3">
        <v>208</v>
      </c>
      <c r="L117" s="3">
        <v>8</v>
      </c>
      <c r="M117" s="3">
        <v>3</v>
      </c>
      <c r="N117" s="3" t="s">
        <v>3</v>
      </c>
    </row>
    <row r="118" spans="1:14" ht="12.75">
      <c r="A118" s="3">
        <v>50</v>
      </c>
      <c r="B118" s="3">
        <v>0</v>
      </c>
      <c r="C118" s="3">
        <v>0</v>
      </c>
      <c r="D118" s="3">
        <v>1</v>
      </c>
      <c r="E118" s="3">
        <v>209</v>
      </c>
      <c r="F118" s="3">
        <f>Source!W108</f>
        <v>0</v>
      </c>
      <c r="G118" s="3" t="s">
        <v>76</v>
      </c>
      <c r="H118" s="3" t="s">
        <v>77</v>
      </c>
      <c r="I118" s="3"/>
      <c r="J118" s="3"/>
      <c r="K118" s="3">
        <v>209</v>
      </c>
      <c r="L118" s="3">
        <v>9</v>
      </c>
      <c r="M118" s="3">
        <v>3</v>
      </c>
      <c r="N118" s="3" t="s">
        <v>3</v>
      </c>
    </row>
    <row r="119" spans="1:14" ht="12.75">
      <c r="A119" s="3">
        <v>50</v>
      </c>
      <c r="B119" s="3">
        <v>0</v>
      </c>
      <c r="C119" s="3">
        <v>0</v>
      </c>
      <c r="D119" s="3">
        <v>1</v>
      </c>
      <c r="E119" s="3">
        <v>0</v>
      </c>
      <c r="F119" s="3">
        <f>Source!X108</f>
        <v>71569.08</v>
      </c>
      <c r="G119" s="3" t="s">
        <v>78</v>
      </c>
      <c r="H119" s="3" t="s">
        <v>79</v>
      </c>
      <c r="I119" s="3"/>
      <c r="J119" s="3"/>
      <c r="K119" s="3">
        <v>210</v>
      </c>
      <c r="L119" s="3">
        <v>10</v>
      </c>
      <c r="M119" s="3">
        <v>3</v>
      </c>
      <c r="N119" s="3" t="s">
        <v>3</v>
      </c>
    </row>
    <row r="120" spans="1:14" ht="12.75">
      <c r="A120" s="3">
        <v>50</v>
      </c>
      <c r="B120" s="3">
        <v>0</v>
      </c>
      <c r="C120" s="3">
        <v>0</v>
      </c>
      <c r="D120" s="3">
        <v>1</v>
      </c>
      <c r="E120" s="3">
        <v>0</v>
      </c>
      <c r="F120" s="3">
        <f>Source!Y108</f>
        <v>39654.87</v>
      </c>
      <c r="G120" s="3" t="s">
        <v>80</v>
      </c>
      <c r="H120" s="3" t="s">
        <v>81</v>
      </c>
      <c r="I120" s="3"/>
      <c r="J120" s="3"/>
      <c r="K120" s="3">
        <v>211</v>
      </c>
      <c r="L120" s="3">
        <v>11</v>
      </c>
      <c r="M120" s="3">
        <v>3</v>
      </c>
      <c r="N120" s="3" t="s">
        <v>3</v>
      </c>
    </row>
    <row r="121" spans="1:14" ht="12.75">
      <c r="A121" s="3">
        <v>50</v>
      </c>
      <c r="B121" s="3">
        <v>0</v>
      </c>
      <c r="C121" s="3">
        <v>0</v>
      </c>
      <c r="D121" s="3">
        <v>2</v>
      </c>
      <c r="E121" s="3">
        <v>201</v>
      </c>
      <c r="F121" s="3">
        <f>ROUND(Source!F110,2)</f>
        <v>396324.46</v>
      </c>
      <c r="G121" s="3" t="s">
        <v>82</v>
      </c>
      <c r="H121" s="3" t="s">
        <v>83</v>
      </c>
      <c r="I121" s="3"/>
      <c r="J121" s="3"/>
      <c r="K121" s="3">
        <v>212</v>
      </c>
      <c r="L121" s="3">
        <v>12</v>
      </c>
      <c r="M121" s="3">
        <v>3</v>
      </c>
      <c r="N121" s="3" t="s">
        <v>3</v>
      </c>
    </row>
    <row r="122" spans="1:14" ht="12.75">
      <c r="A122" s="3">
        <v>50</v>
      </c>
      <c r="B122" s="3">
        <v>0</v>
      </c>
      <c r="C122" s="3">
        <v>0</v>
      </c>
      <c r="D122" s="3">
        <v>2</v>
      </c>
      <c r="E122" s="3">
        <v>210</v>
      </c>
      <c r="F122" s="3">
        <f>ROUND(Source!F119,2)</f>
        <v>71569.08</v>
      </c>
      <c r="G122" s="3" t="s">
        <v>84</v>
      </c>
      <c r="H122" s="3" t="s">
        <v>85</v>
      </c>
      <c r="I122" s="3"/>
      <c r="J122" s="3"/>
      <c r="K122" s="3">
        <v>212</v>
      </c>
      <c r="L122" s="3">
        <v>13</v>
      </c>
      <c r="M122" s="3">
        <v>3</v>
      </c>
      <c r="N122" s="3" t="s">
        <v>3</v>
      </c>
    </row>
    <row r="123" spans="1:14" ht="12.75">
      <c r="A123" s="3">
        <v>50</v>
      </c>
      <c r="B123" s="3">
        <v>0</v>
      </c>
      <c r="C123" s="3">
        <v>0</v>
      </c>
      <c r="D123" s="3">
        <v>2</v>
      </c>
      <c r="E123" s="3">
        <v>211</v>
      </c>
      <c r="F123" s="3">
        <f>ROUND(Source!F120,2)</f>
        <v>39654.87</v>
      </c>
      <c r="G123" s="3" t="s">
        <v>86</v>
      </c>
      <c r="H123" s="3" t="s">
        <v>87</v>
      </c>
      <c r="I123" s="3"/>
      <c r="J123" s="3"/>
      <c r="K123" s="3">
        <v>212</v>
      </c>
      <c r="L123" s="3">
        <v>14</v>
      </c>
      <c r="M123" s="3">
        <v>3</v>
      </c>
      <c r="N123" s="3" t="s">
        <v>3</v>
      </c>
    </row>
    <row r="124" spans="1:14" ht="12.75">
      <c r="A124" s="3">
        <v>50</v>
      </c>
      <c r="B124" s="3">
        <v>1</v>
      </c>
      <c r="C124" s="3">
        <v>0</v>
      </c>
      <c r="D124" s="3">
        <v>2</v>
      </c>
      <c r="E124" s="3">
        <v>0</v>
      </c>
      <c r="F124" s="3">
        <f>ROUND(Source!F121+Source!F122+Source!F123,2)</f>
        <v>507548.41</v>
      </c>
      <c r="G124" s="3" t="s">
        <v>88</v>
      </c>
      <c r="H124" s="3" t="s">
        <v>89</v>
      </c>
      <c r="I124" s="3"/>
      <c r="J124" s="3"/>
      <c r="K124" s="3">
        <v>212</v>
      </c>
      <c r="L124" s="3">
        <v>15</v>
      </c>
      <c r="M124" s="3">
        <v>0</v>
      </c>
      <c r="N124" s="3" t="s">
        <v>3</v>
      </c>
    </row>
    <row r="125" spans="1:14" ht="12.75">
      <c r="A125" s="3">
        <v>50</v>
      </c>
      <c r="B125" s="3">
        <v>0</v>
      </c>
      <c r="C125" s="3">
        <v>0</v>
      </c>
      <c r="D125" s="3">
        <v>2</v>
      </c>
      <c r="E125" s="3">
        <v>0</v>
      </c>
      <c r="F125" s="3">
        <f>ROUND(Source!F116+Source!F117,2)</f>
        <v>987.6</v>
      </c>
      <c r="G125" s="3" t="s">
        <v>90</v>
      </c>
      <c r="H125" s="3" t="s">
        <v>91</v>
      </c>
      <c r="I125" s="3"/>
      <c r="J125" s="3"/>
      <c r="K125" s="3">
        <v>212</v>
      </c>
      <c r="L125" s="3">
        <v>16</v>
      </c>
      <c r="M125" s="3">
        <v>3</v>
      </c>
      <c r="N125" s="3" t="s">
        <v>3</v>
      </c>
    </row>
    <row r="126" spans="1:14" ht="12.75">
      <c r="A126" s="3">
        <v>50</v>
      </c>
      <c r="B126" s="3">
        <v>0</v>
      </c>
      <c r="C126" s="3">
        <v>0</v>
      </c>
      <c r="D126" s="3">
        <v>2</v>
      </c>
      <c r="E126" s="3">
        <v>205</v>
      </c>
      <c r="F126" s="3">
        <f>ROUND(Source!F114+Source!F113,2)</f>
        <v>79309.72</v>
      </c>
      <c r="G126" s="3" t="s">
        <v>92</v>
      </c>
      <c r="H126" s="3" t="s">
        <v>93</v>
      </c>
      <c r="I126" s="3"/>
      <c r="J126" s="3"/>
      <c r="K126" s="3">
        <v>212</v>
      </c>
      <c r="L126" s="3">
        <v>17</v>
      </c>
      <c r="M126" s="3">
        <v>3</v>
      </c>
      <c r="N126" s="3" t="s">
        <v>3</v>
      </c>
    </row>
    <row r="127" spans="1:14" ht="12.75">
      <c r="A127" s="3">
        <v>50</v>
      </c>
      <c r="B127" s="3">
        <f>IF(Source!F127&lt;&gt;0,1,0)</f>
        <v>1</v>
      </c>
      <c r="C127" s="3">
        <v>0</v>
      </c>
      <c r="D127" s="3">
        <v>2</v>
      </c>
      <c r="E127" s="3">
        <v>0</v>
      </c>
      <c r="F127" s="3">
        <f>ROUND(1.2,2)</f>
        <v>1.2</v>
      </c>
      <c r="G127" s="3" t="s">
        <v>94</v>
      </c>
      <c r="H127" s="3" t="s">
        <v>95</v>
      </c>
      <c r="I127" s="3"/>
      <c r="J127" s="3"/>
      <c r="K127" s="3">
        <v>212</v>
      </c>
      <c r="L127" s="3">
        <v>18</v>
      </c>
      <c r="M127" s="3">
        <v>1</v>
      </c>
      <c r="N127" s="3" t="s">
        <v>96</v>
      </c>
    </row>
    <row r="128" spans="1:14" ht="12.75">
      <c r="A128" s="3">
        <v>50</v>
      </c>
      <c r="B128" s="3">
        <f>IF(Source!F128&lt;&gt;0,1,0)</f>
        <v>1</v>
      </c>
      <c r="C128" s="3">
        <v>0</v>
      </c>
      <c r="D128" s="3">
        <v>2</v>
      </c>
      <c r="E128" s="3">
        <v>0</v>
      </c>
      <c r="F128" s="3">
        <f>ROUND(IF(Source!F127&gt;0,Source!F124*(Source!F127/100+1),0),2)</f>
        <v>513638.99</v>
      </c>
      <c r="G128" s="3" t="s">
        <v>97</v>
      </c>
      <c r="H128" s="3" t="s">
        <v>98</v>
      </c>
      <c r="I128" s="3"/>
      <c r="J128" s="3"/>
      <c r="K128" s="3">
        <v>212</v>
      </c>
      <c r="L128" s="3">
        <v>19</v>
      </c>
      <c r="M128" s="3">
        <v>1</v>
      </c>
      <c r="N128" s="3" t="s">
        <v>3</v>
      </c>
    </row>
    <row r="129" spans="1:14" ht="12.75">
      <c r="A129" s="3">
        <v>50</v>
      </c>
      <c r="B129" s="3">
        <f>IF(Source!F129&lt;&gt;0,1,0)</f>
        <v>0</v>
      </c>
      <c r="C129" s="3">
        <v>0</v>
      </c>
      <c r="D129" s="3">
        <v>2</v>
      </c>
      <c r="E129" s="3">
        <v>0</v>
      </c>
      <c r="F129" s="3">
        <v>0</v>
      </c>
      <c r="G129" s="3" t="s">
        <v>99</v>
      </c>
      <c r="H129" s="3" t="s">
        <v>100</v>
      </c>
      <c r="I129" s="3"/>
      <c r="J129" s="3"/>
      <c r="K129" s="3">
        <v>212</v>
      </c>
      <c r="L129" s="3">
        <v>20</v>
      </c>
      <c r="M129" s="3">
        <v>1</v>
      </c>
      <c r="N129" s="3" t="s">
        <v>101</v>
      </c>
    </row>
    <row r="130" spans="1:14" ht="12.75">
      <c r="A130" s="3">
        <v>50</v>
      </c>
      <c r="B130" s="3">
        <f>IF(Source!F130&lt;&gt;0,1,0)</f>
        <v>0</v>
      </c>
      <c r="C130" s="3">
        <v>0</v>
      </c>
      <c r="D130" s="3">
        <v>2</v>
      </c>
      <c r="E130" s="3">
        <v>0</v>
      </c>
      <c r="F130" s="3">
        <f>ROUND(IF(Source!F129&gt;0,IF(Source!F127&gt;0,Source!F128*(Source!F129/100+1),Source!F124*(Source!F129/100+1)),0),2)</f>
        <v>0</v>
      </c>
      <c r="G130" s="3" t="s">
        <v>102</v>
      </c>
      <c r="H130" s="3" t="s">
        <v>103</v>
      </c>
      <c r="I130" s="3"/>
      <c r="J130" s="3"/>
      <c r="K130" s="3">
        <v>212</v>
      </c>
      <c r="L130" s="3">
        <v>21</v>
      </c>
      <c r="M130" s="3">
        <v>1</v>
      </c>
      <c r="N130" s="3" t="s">
        <v>3</v>
      </c>
    </row>
    <row r="131" spans="1:14" ht="12.75">
      <c r="A131" s="3">
        <v>50</v>
      </c>
      <c r="B131" s="3">
        <v>1</v>
      </c>
      <c r="C131" s="3">
        <v>0</v>
      </c>
      <c r="D131" s="3">
        <v>2</v>
      </c>
      <c r="E131" s="3">
        <v>0</v>
      </c>
      <c r="F131" s="3">
        <f>ROUND(IF(Source!F130&gt;0,Source!F130*0.18,IF(Source!F127&gt;0,Source!F128*0.18,Source!F124*0.18)),2)</f>
        <v>92455.02</v>
      </c>
      <c r="G131" s="3" t="s">
        <v>104</v>
      </c>
      <c r="H131" s="3" t="s">
        <v>105</v>
      </c>
      <c r="I131" s="3"/>
      <c r="J131" s="3"/>
      <c r="K131" s="3">
        <v>212</v>
      </c>
      <c r="L131" s="3">
        <v>22</v>
      </c>
      <c r="M131" s="3">
        <v>0</v>
      </c>
      <c r="N131" s="3" t="s">
        <v>3</v>
      </c>
    </row>
    <row r="132" spans="1:14" ht="12.75">
      <c r="A132" s="3">
        <v>50</v>
      </c>
      <c r="B132" s="3">
        <v>1</v>
      </c>
      <c r="C132" s="3">
        <v>0</v>
      </c>
      <c r="D132" s="3">
        <v>2</v>
      </c>
      <c r="E132" s="3">
        <v>213</v>
      </c>
      <c r="F132" s="3">
        <f>ROUND(Source!F131/18*100+Source!F131,2)</f>
        <v>606094.02</v>
      </c>
      <c r="G132" s="3" t="s">
        <v>106</v>
      </c>
      <c r="H132" s="3" t="s">
        <v>106</v>
      </c>
      <c r="I132" s="3"/>
      <c r="J132" s="3"/>
      <c r="K132" s="3">
        <v>212</v>
      </c>
      <c r="L132" s="3">
        <v>23</v>
      </c>
      <c r="M132" s="3">
        <v>0</v>
      </c>
      <c r="N132" s="3" t="s">
        <v>3</v>
      </c>
    </row>
    <row r="134" spans="1:39" ht="12.75">
      <c r="A134" s="2">
        <v>51</v>
      </c>
      <c r="B134" s="2">
        <f>B20</f>
        <v>1</v>
      </c>
      <c r="C134" s="2">
        <f>A20</f>
        <v>3</v>
      </c>
      <c r="D134" s="2">
        <f>ROW(A20)</f>
        <v>20</v>
      </c>
      <c r="E134" s="2"/>
      <c r="F134" s="2" t="str">
        <f>IF(F20&lt;&gt;"",F20,"")</f>
        <v>Новая локальная смета</v>
      </c>
      <c r="G134" s="2" t="str">
        <f>IF(G20&lt;&gt;"",G20,"")</f>
        <v>Новая локальная смета</v>
      </c>
      <c r="H134" s="2"/>
      <c r="I134" s="2"/>
      <c r="J134" s="2"/>
      <c r="K134" s="2"/>
      <c r="L134" s="2"/>
      <c r="M134" s="2"/>
      <c r="N134" s="2"/>
      <c r="O134" s="2">
        <f aca="true" t="shared" si="62" ref="O134:Y134">ROUND(O35+O68+O108+AB134,2)</f>
        <v>1092982.73</v>
      </c>
      <c r="P134" s="2">
        <f t="shared" si="62"/>
        <v>829522.52</v>
      </c>
      <c r="Q134" s="2">
        <f t="shared" si="62"/>
        <v>151515.07</v>
      </c>
      <c r="R134" s="2">
        <f t="shared" si="62"/>
        <v>31808.34</v>
      </c>
      <c r="S134" s="2">
        <f t="shared" si="62"/>
        <v>111945.14</v>
      </c>
      <c r="T134" s="2">
        <f t="shared" si="62"/>
        <v>0</v>
      </c>
      <c r="U134" s="2">
        <f t="shared" si="62"/>
        <v>1544.14</v>
      </c>
      <c r="V134" s="2">
        <f t="shared" si="62"/>
        <v>334.65</v>
      </c>
      <c r="W134" s="2">
        <f t="shared" si="62"/>
        <v>0</v>
      </c>
      <c r="X134" s="2">
        <f t="shared" si="62"/>
        <v>147193.01</v>
      </c>
      <c r="Y134" s="2">
        <f t="shared" si="62"/>
        <v>92360.42</v>
      </c>
      <c r="Z134" s="2"/>
      <c r="AA134" s="2"/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</row>
    <row r="136" spans="1:14" ht="12.75">
      <c r="A136" s="3">
        <v>50</v>
      </c>
      <c r="B136" s="3">
        <v>0</v>
      </c>
      <c r="C136" s="3">
        <v>0</v>
      </c>
      <c r="D136" s="3">
        <v>1</v>
      </c>
      <c r="E136" s="3">
        <v>0</v>
      </c>
      <c r="F136" s="3">
        <f>Source!O134</f>
        <v>1092982.73</v>
      </c>
      <c r="G136" s="3" t="s">
        <v>60</v>
      </c>
      <c r="H136" s="3" t="s">
        <v>61</v>
      </c>
      <c r="I136" s="3"/>
      <c r="J136" s="3"/>
      <c r="K136" s="3">
        <v>201</v>
      </c>
      <c r="L136" s="3">
        <v>1</v>
      </c>
      <c r="M136" s="3">
        <v>3</v>
      </c>
      <c r="N136" s="3" t="s">
        <v>3</v>
      </c>
    </row>
    <row r="137" spans="1:14" ht="12.75">
      <c r="A137" s="3">
        <v>50</v>
      </c>
      <c r="B137" s="3">
        <v>0</v>
      </c>
      <c r="C137" s="3">
        <v>0</v>
      </c>
      <c r="D137" s="3">
        <v>1</v>
      </c>
      <c r="E137" s="3">
        <v>202</v>
      </c>
      <c r="F137" s="3">
        <f>Source!P134</f>
        <v>829522.52</v>
      </c>
      <c r="G137" s="3" t="s">
        <v>62</v>
      </c>
      <c r="H137" s="3" t="s">
        <v>63</v>
      </c>
      <c r="I137" s="3"/>
      <c r="J137" s="3"/>
      <c r="K137" s="3">
        <v>202</v>
      </c>
      <c r="L137" s="3">
        <v>2</v>
      </c>
      <c r="M137" s="3">
        <v>3</v>
      </c>
      <c r="N137" s="3" t="s">
        <v>3</v>
      </c>
    </row>
    <row r="138" spans="1:14" ht="12.75">
      <c r="A138" s="3">
        <v>50</v>
      </c>
      <c r="B138" s="3">
        <v>0</v>
      </c>
      <c r="C138" s="3">
        <v>0</v>
      </c>
      <c r="D138" s="3">
        <v>1</v>
      </c>
      <c r="E138" s="3">
        <v>203</v>
      </c>
      <c r="F138" s="3">
        <f>Source!Q134</f>
        <v>151515.07</v>
      </c>
      <c r="G138" s="3" t="s">
        <v>64</v>
      </c>
      <c r="H138" s="3" t="s">
        <v>65</v>
      </c>
      <c r="I138" s="3"/>
      <c r="J138" s="3"/>
      <c r="K138" s="3">
        <v>203</v>
      </c>
      <c r="L138" s="3">
        <v>3</v>
      </c>
      <c r="M138" s="3">
        <v>3</v>
      </c>
      <c r="N138" s="3" t="s">
        <v>3</v>
      </c>
    </row>
    <row r="139" spans="1:14" ht="12.75">
      <c r="A139" s="3">
        <v>50</v>
      </c>
      <c r="B139" s="3">
        <v>0</v>
      </c>
      <c r="C139" s="3">
        <v>0</v>
      </c>
      <c r="D139" s="3">
        <v>1</v>
      </c>
      <c r="E139" s="3">
        <v>204</v>
      </c>
      <c r="F139" s="3">
        <f>Source!R134</f>
        <v>31808.34</v>
      </c>
      <c r="G139" s="3" t="s">
        <v>66</v>
      </c>
      <c r="H139" s="3" t="s">
        <v>67</v>
      </c>
      <c r="I139" s="3"/>
      <c r="J139" s="3"/>
      <c r="K139" s="3">
        <v>204</v>
      </c>
      <c r="L139" s="3">
        <v>4</v>
      </c>
      <c r="M139" s="3">
        <v>3</v>
      </c>
      <c r="N139" s="3" t="s">
        <v>3</v>
      </c>
    </row>
    <row r="140" spans="1:14" ht="12.75">
      <c r="A140" s="3">
        <v>50</v>
      </c>
      <c r="B140" s="3">
        <v>0</v>
      </c>
      <c r="C140" s="3">
        <v>0</v>
      </c>
      <c r="D140" s="3">
        <v>1</v>
      </c>
      <c r="E140" s="3">
        <v>0</v>
      </c>
      <c r="F140" s="3">
        <f>Source!S134</f>
        <v>111945.14</v>
      </c>
      <c r="G140" s="3" t="s">
        <v>68</v>
      </c>
      <c r="H140" s="3" t="s">
        <v>69</v>
      </c>
      <c r="I140" s="3"/>
      <c r="J140" s="3"/>
      <c r="K140" s="3">
        <v>205</v>
      </c>
      <c r="L140" s="3">
        <v>5</v>
      </c>
      <c r="M140" s="3">
        <v>3</v>
      </c>
      <c r="N140" s="3" t="s">
        <v>3</v>
      </c>
    </row>
    <row r="141" spans="1:14" ht="12.75">
      <c r="A141" s="3">
        <v>50</v>
      </c>
      <c r="B141" s="3">
        <v>0</v>
      </c>
      <c r="C141" s="3">
        <v>0</v>
      </c>
      <c r="D141" s="3">
        <v>1</v>
      </c>
      <c r="E141" s="3">
        <v>206</v>
      </c>
      <c r="F141" s="3">
        <f>Source!T134</f>
        <v>0</v>
      </c>
      <c r="G141" s="3" t="s">
        <v>70</v>
      </c>
      <c r="H141" s="3" t="s">
        <v>71</v>
      </c>
      <c r="I141" s="3"/>
      <c r="J141" s="3"/>
      <c r="K141" s="3">
        <v>206</v>
      </c>
      <c r="L141" s="3">
        <v>6</v>
      </c>
      <c r="M141" s="3">
        <v>3</v>
      </c>
      <c r="N141" s="3" t="s">
        <v>3</v>
      </c>
    </row>
    <row r="142" spans="1:14" ht="12.75">
      <c r="A142" s="3">
        <v>50</v>
      </c>
      <c r="B142" s="3">
        <v>0</v>
      </c>
      <c r="C142" s="3">
        <v>0</v>
      </c>
      <c r="D142" s="3">
        <v>1</v>
      </c>
      <c r="E142" s="3">
        <v>207</v>
      </c>
      <c r="F142" s="3">
        <f>Source!U134</f>
        <v>1544.14</v>
      </c>
      <c r="G142" s="3" t="s">
        <v>72</v>
      </c>
      <c r="H142" s="3" t="s">
        <v>73</v>
      </c>
      <c r="I142" s="3"/>
      <c r="J142" s="3"/>
      <c r="K142" s="3">
        <v>207</v>
      </c>
      <c r="L142" s="3">
        <v>7</v>
      </c>
      <c r="M142" s="3">
        <v>3</v>
      </c>
      <c r="N142" s="3" t="s">
        <v>3</v>
      </c>
    </row>
    <row r="143" spans="1:14" ht="12.75">
      <c r="A143" s="3">
        <v>50</v>
      </c>
      <c r="B143" s="3">
        <v>0</v>
      </c>
      <c r="C143" s="3">
        <v>0</v>
      </c>
      <c r="D143" s="3">
        <v>1</v>
      </c>
      <c r="E143" s="3">
        <v>208</v>
      </c>
      <c r="F143" s="3">
        <f>Source!V134</f>
        <v>334.65</v>
      </c>
      <c r="G143" s="3" t="s">
        <v>74</v>
      </c>
      <c r="H143" s="3" t="s">
        <v>75</v>
      </c>
      <c r="I143" s="3"/>
      <c r="J143" s="3"/>
      <c r="K143" s="3">
        <v>208</v>
      </c>
      <c r="L143" s="3">
        <v>8</v>
      </c>
      <c r="M143" s="3">
        <v>3</v>
      </c>
      <c r="N143" s="3" t="s">
        <v>3</v>
      </c>
    </row>
    <row r="144" spans="1:14" ht="12.75">
      <c r="A144" s="3">
        <v>50</v>
      </c>
      <c r="B144" s="3">
        <v>0</v>
      </c>
      <c r="C144" s="3">
        <v>0</v>
      </c>
      <c r="D144" s="3">
        <v>1</v>
      </c>
      <c r="E144" s="3">
        <v>209</v>
      </c>
      <c r="F144" s="3">
        <f>Source!W134</f>
        <v>0</v>
      </c>
      <c r="G144" s="3" t="s">
        <v>76</v>
      </c>
      <c r="H144" s="3" t="s">
        <v>77</v>
      </c>
      <c r="I144" s="3"/>
      <c r="J144" s="3"/>
      <c r="K144" s="3">
        <v>209</v>
      </c>
      <c r="L144" s="3">
        <v>9</v>
      </c>
      <c r="M144" s="3">
        <v>3</v>
      </c>
      <c r="N144" s="3" t="s">
        <v>3</v>
      </c>
    </row>
    <row r="145" spans="1:14" ht="12.75">
      <c r="A145" s="3">
        <v>50</v>
      </c>
      <c r="B145" s="3">
        <v>0</v>
      </c>
      <c r="C145" s="3">
        <v>0</v>
      </c>
      <c r="D145" s="3">
        <v>1</v>
      </c>
      <c r="E145" s="3">
        <v>0</v>
      </c>
      <c r="F145" s="3">
        <f>Source!X134</f>
        <v>147193.01</v>
      </c>
      <c r="G145" s="3" t="s">
        <v>78</v>
      </c>
      <c r="H145" s="3" t="s">
        <v>79</v>
      </c>
      <c r="I145" s="3"/>
      <c r="J145" s="3"/>
      <c r="K145" s="3">
        <v>210</v>
      </c>
      <c r="L145" s="3">
        <v>10</v>
      </c>
      <c r="M145" s="3">
        <v>3</v>
      </c>
      <c r="N145" s="3" t="s">
        <v>3</v>
      </c>
    </row>
    <row r="146" spans="1:14" ht="12.75">
      <c r="A146" s="3">
        <v>50</v>
      </c>
      <c r="B146" s="3">
        <v>0</v>
      </c>
      <c r="C146" s="3">
        <v>0</v>
      </c>
      <c r="D146" s="3">
        <v>1</v>
      </c>
      <c r="E146" s="3">
        <v>0</v>
      </c>
      <c r="F146" s="3">
        <f>Source!Y134</f>
        <v>92360.42</v>
      </c>
      <c r="G146" s="3" t="s">
        <v>80</v>
      </c>
      <c r="H146" s="3" t="s">
        <v>81</v>
      </c>
      <c r="I146" s="3"/>
      <c r="J146" s="3"/>
      <c r="K146" s="3">
        <v>211</v>
      </c>
      <c r="L146" s="3">
        <v>11</v>
      </c>
      <c r="M146" s="3">
        <v>3</v>
      </c>
      <c r="N146" s="3" t="s">
        <v>3</v>
      </c>
    </row>
    <row r="147" spans="1:14" ht="12.75">
      <c r="A147" s="3">
        <v>50</v>
      </c>
      <c r="B147" s="3">
        <v>0</v>
      </c>
      <c r="C147" s="3">
        <v>0</v>
      </c>
      <c r="D147" s="3">
        <v>2</v>
      </c>
      <c r="E147" s="3">
        <v>201</v>
      </c>
      <c r="F147" s="3">
        <f>ROUND(Source!F136,2)</f>
        <v>1092982.73</v>
      </c>
      <c r="G147" s="3" t="s">
        <v>82</v>
      </c>
      <c r="H147" s="3" t="s">
        <v>83</v>
      </c>
      <c r="I147" s="3"/>
      <c r="J147" s="3"/>
      <c r="K147" s="3">
        <v>212</v>
      </c>
      <c r="L147" s="3">
        <v>12</v>
      </c>
      <c r="M147" s="3">
        <v>3</v>
      </c>
      <c r="N147" s="3" t="s">
        <v>3</v>
      </c>
    </row>
    <row r="148" spans="1:14" ht="12.75">
      <c r="A148" s="3">
        <v>50</v>
      </c>
      <c r="B148" s="3">
        <v>0</v>
      </c>
      <c r="C148" s="3">
        <v>0</v>
      </c>
      <c r="D148" s="3">
        <v>2</v>
      </c>
      <c r="E148" s="3">
        <v>210</v>
      </c>
      <c r="F148" s="3">
        <f>ROUND(Source!F145,2)</f>
        <v>147193.01</v>
      </c>
      <c r="G148" s="3" t="s">
        <v>84</v>
      </c>
      <c r="H148" s="3" t="s">
        <v>85</v>
      </c>
      <c r="I148" s="3"/>
      <c r="J148" s="3"/>
      <c r="K148" s="3">
        <v>212</v>
      </c>
      <c r="L148" s="3">
        <v>13</v>
      </c>
      <c r="M148" s="3">
        <v>3</v>
      </c>
      <c r="N148" s="3" t="s">
        <v>3</v>
      </c>
    </row>
    <row r="149" spans="1:14" ht="12.75">
      <c r="A149" s="3">
        <v>50</v>
      </c>
      <c r="B149" s="3">
        <v>0</v>
      </c>
      <c r="C149" s="3">
        <v>0</v>
      </c>
      <c r="D149" s="3">
        <v>2</v>
      </c>
      <c r="E149" s="3">
        <v>211</v>
      </c>
      <c r="F149" s="3">
        <f>ROUND(Source!F146,2)</f>
        <v>92360.42</v>
      </c>
      <c r="G149" s="3" t="s">
        <v>86</v>
      </c>
      <c r="H149" s="3" t="s">
        <v>87</v>
      </c>
      <c r="I149" s="3"/>
      <c r="J149" s="3"/>
      <c r="K149" s="3">
        <v>212</v>
      </c>
      <c r="L149" s="3">
        <v>14</v>
      </c>
      <c r="M149" s="3">
        <v>3</v>
      </c>
      <c r="N149" s="3" t="s">
        <v>3</v>
      </c>
    </row>
    <row r="150" spans="1:14" ht="12.75">
      <c r="A150" s="3">
        <v>50</v>
      </c>
      <c r="B150" s="3">
        <v>1</v>
      </c>
      <c r="C150" s="3">
        <v>0</v>
      </c>
      <c r="D150" s="3">
        <v>2</v>
      </c>
      <c r="E150" s="3">
        <v>0</v>
      </c>
      <c r="F150" s="3">
        <f>ROUND(Source!F147+Source!F148+Source!F149,2)</f>
        <v>1332536.16</v>
      </c>
      <c r="G150" s="3" t="s">
        <v>88</v>
      </c>
      <c r="H150" s="3" t="s">
        <v>89</v>
      </c>
      <c r="I150" s="3"/>
      <c r="J150" s="3"/>
      <c r="K150" s="3">
        <v>212</v>
      </c>
      <c r="L150" s="3">
        <v>15</v>
      </c>
      <c r="M150" s="3">
        <v>0</v>
      </c>
      <c r="N150" s="3" t="s">
        <v>3</v>
      </c>
    </row>
    <row r="151" spans="1:14" ht="12.75">
      <c r="A151" s="3">
        <v>50</v>
      </c>
      <c r="B151" s="3">
        <v>0</v>
      </c>
      <c r="C151" s="3">
        <v>0</v>
      </c>
      <c r="D151" s="3">
        <v>2</v>
      </c>
      <c r="E151" s="3">
        <v>0</v>
      </c>
      <c r="F151" s="3">
        <f>ROUND(Source!F142+Source!F143,2)</f>
        <v>1878.79</v>
      </c>
      <c r="G151" s="3" t="s">
        <v>90</v>
      </c>
      <c r="H151" s="3" t="s">
        <v>91</v>
      </c>
      <c r="I151" s="3"/>
      <c r="J151" s="3"/>
      <c r="K151" s="3">
        <v>212</v>
      </c>
      <c r="L151" s="3">
        <v>16</v>
      </c>
      <c r="M151" s="3">
        <v>3</v>
      </c>
      <c r="N151" s="3" t="s">
        <v>3</v>
      </c>
    </row>
    <row r="152" spans="1:14" ht="12.75">
      <c r="A152" s="3">
        <v>50</v>
      </c>
      <c r="B152" s="3">
        <v>0</v>
      </c>
      <c r="C152" s="3">
        <v>0</v>
      </c>
      <c r="D152" s="3">
        <v>2</v>
      </c>
      <c r="E152" s="3">
        <v>205</v>
      </c>
      <c r="F152" s="3">
        <f>ROUND(Source!F140+Source!F139,2)</f>
        <v>143753.48</v>
      </c>
      <c r="G152" s="3" t="s">
        <v>92</v>
      </c>
      <c r="H152" s="3" t="s">
        <v>93</v>
      </c>
      <c r="I152" s="3"/>
      <c r="J152" s="3"/>
      <c r="K152" s="3">
        <v>212</v>
      </c>
      <c r="L152" s="3">
        <v>17</v>
      </c>
      <c r="M152" s="3">
        <v>3</v>
      </c>
      <c r="N152" s="3" t="s">
        <v>3</v>
      </c>
    </row>
    <row r="153" spans="1:14" ht="12.75">
      <c r="A153" s="3">
        <v>50</v>
      </c>
      <c r="B153" s="3">
        <f>IF(Source!F153&lt;&gt;0,1,0)</f>
        <v>1</v>
      </c>
      <c r="C153" s="3">
        <v>0</v>
      </c>
      <c r="D153" s="3">
        <v>2</v>
      </c>
      <c r="E153" s="3">
        <v>0</v>
      </c>
      <c r="F153" s="3">
        <f>ROUND(1.2,2)</f>
        <v>1.2</v>
      </c>
      <c r="G153" s="3" t="s">
        <v>94</v>
      </c>
      <c r="H153" s="3" t="s">
        <v>95</v>
      </c>
      <c r="I153" s="3"/>
      <c r="J153" s="3"/>
      <c r="K153" s="3">
        <v>212</v>
      </c>
      <c r="L153" s="3">
        <v>18</v>
      </c>
      <c r="M153" s="3">
        <v>1</v>
      </c>
      <c r="N153" s="3" t="s">
        <v>96</v>
      </c>
    </row>
    <row r="154" spans="1:14" ht="12.75">
      <c r="A154" s="3">
        <v>50</v>
      </c>
      <c r="B154" s="3">
        <f>IF(Source!F154&lt;&gt;0,1,0)</f>
        <v>1</v>
      </c>
      <c r="C154" s="3">
        <v>0</v>
      </c>
      <c r="D154" s="3">
        <v>2</v>
      </c>
      <c r="E154" s="3">
        <v>0</v>
      </c>
      <c r="F154" s="3">
        <f>ROUND(IF(Source!F153&gt;0,Source!F150*(Source!F153/100+1),0),2)</f>
        <v>1348526.59</v>
      </c>
      <c r="G154" s="3" t="s">
        <v>97</v>
      </c>
      <c r="H154" s="3" t="s">
        <v>98</v>
      </c>
      <c r="I154" s="3"/>
      <c r="J154" s="3"/>
      <c r="K154" s="3">
        <v>212</v>
      </c>
      <c r="L154" s="3">
        <v>19</v>
      </c>
      <c r="M154" s="3">
        <v>1</v>
      </c>
      <c r="N154" s="3" t="s">
        <v>3</v>
      </c>
    </row>
    <row r="155" spans="1:14" ht="12.75">
      <c r="A155" s="3">
        <v>50</v>
      </c>
      <c r="B155" s="3">
        <f>IF(Source!F155&lt;&gt;0,1,0)</f>
        <v>0</v>
      </c>
      <c r="C155" s="3">
        <v>0</v>
      </c>
      <c r="D155" s="3">
        <v>2</v>
      </c>
      <c r="E155" s="3">
        <v>0</v>
      </c>
      <c r="F155" s="3">
        <v>0</v>
      </c>
      <c r="G155" s="3" t="s">
        <v>99</v>
      </c>
      <c r="H155" s="3" t="s">
        <v>100</v>
      </c>
      <c r="I155" s="3"/>
      <c r="J155" s="3"/>
      <c r="K155" s="3">
        <v>212</v>
      </c>
      <c r="L155" s="3">
        <v>20</v>
      </c>
      <c r="M155" s="3">
        <v>1</v>
      </c>
      <c r="N155" s="3" t="s">
        <v>101</v>
      </c>
    </row>
    <row r="156" spans="1:14" ht="12.75">
      <c r="A156" s="3">
        <v>50</v>
      </c>
      <c r="B156" s="3">
        <f>IF(Source!F156&lt;&gt;0,1,0)</f>
        <v>0</v>
      </c>
      <c r="C156" s="3">
        <v>0</v>
      </c>
      <c r="D156" s="3">
        <v>2</v>
      </c>
      <c r="E156" s="3">
        <v>0</v>
      </c>
      <c r="F156" s="3">
        <f>ROUND(IF(Source!F155&gt;0,IF(Source!F153&gt;0,Source!F154*(Source!F155/100+1),Source!F150*(Source!F155/100+1)),0),2)</f>
        <v>0</v>
      </c>
      <c r="G156" s="3" t="s">
        <v>102</v>
      </c>
      <c r="H156" s="3" t="s">
        <v>103</v>
      </c>
      <c r="I156" s="3"/>
      <c r="J156" s="3"/>
      <c r="K156" s="3">
        <v>212</v>
      </c>
      <c r="L156" s="3">
        <v>21</v>
      </c>
      <c r="M156" s="3">
        <v>1</v>
      </c>
      <c r="N156" s="3" t="s">
        <v>3</v>
      </c>
    </row>
    <row r="157" spans="1:14" ht="12.75">
      <c r="A157" s="3">
        <v>50</v>
      </c>
      <c r="B157" s="3">
        <v>1</v>
      </c>
      <c r="C157" s="3">
        <v>0</v>
      </c>
      <c r="D157" s="3">
        <v>2</v>
      </c>
      <c r="E157" s="3">
        <v>0</v>
      </c>
      <c r="F157" s="3">
        <f>ROUND(IF(Source!F156&gt;0,Source!F156*0.18,IF(Source!F153&gt;0,Source!F154*0.18,Source!F150*0.18)),2)</f>
        <v>242734.79</v>
      </c>
      <c r="G157" s="3" t="s">
        <v>104</v>
      </c>
      <c r="H157" s="3" t="s">
        <v>105</v>
      </c>
      <c r="I157" s="3"/>
      <c r="J157" s="3"/>
      <c r="K157" s="3">
        <v>212</v>
      </c>
      <c r="L157" s="3">
        <v>22</v>
      </c>
      <c r="M157" s="3">
        <v>0</v>
      </c>
      <c r="N157" s="3" t="s">
        <v>3</v>
      </c>
    </row>
    <row r="158" spans="1:14" ht="12.75">
      <c r="A158" s="3">
        <v>50</v>
      </c>
      <c r="B158" s="3">
        <v>1</v>
      </c>
      <c r="C158" s="3">
        <v>0</v>
      </c>
      <c r="D158" s="3">
        <v>2</v>
      </c>
      <c r="E158" s="3">
        <v>213</v>
      </c>
      <c r="F158" s="3">
        <f>ROUND(Source!F157/18*100+Source!F157,2)</f>
        <v>1591261.4</v>
      </c>
      <c r="G158" s="3" t="s">
        <v>106</v>
      </c>
      <c r="H158" s="3" t="s">
        <v>106</v>
      </c>
      <c r="I158" s="3"/>
      <c r="J158" s="3"/>
      <c r="K158" s="3">
        <v>212</v>
      </c>
      <c r="L158" s="3">
        <v>23</v>
      </c>
      <c r="M158" s="3">
        <v>0</v>
      </c>
      <c r="N158" s="3" t="s">
        <v>3</v>
      </c>
    </row>
    <row r="160" spans="1:39" ht="12.75">
      <c r="A160" s="2">
        <v>51</v>
      </c>
      <c r="B160" s="2">
        <f>B12</f>
        <v>1</v>
      </c>
      <c r="C160" s="2">
        <f>A12</f>
        <v>1</v>
      </c>
      <c r="D160" s="2">
        <f>ROW(A12)</f>
        <v>12</v>
      </c>
      <c r="E160" s="2"/>
      <c r="F160" s="2" t="str">
        <f>IF(F12&lt;&gt;"",F12,"")</f>
        <v>Новый объект</v>
      </c>
      <c r="G160" s="2" t="str">
        <f>IF(G12&lt;&gt;"",G12,"")</f>
        <v>Монтаж подкрановых путей</v>
      </c>
      <c r="H160" s="2"/>
      <c r="I160" s="2"/>
      <c r="J160" s="2"/>
      <c r="K160" s="2"/>
      <c r="L160" s="2"/>
      <c r="M160" s="2"/>
      <c r="N160" s="2"/>
      <c r="O160" s="2">
        <f aca="true" t="shared" si="63" ref="O160:Y160">ROUND(O134,2)</f>
        <v>1092982.73</v>
      </c>
      <c r="P160" s="2">
        <f t="shared" si="63"/>
        <v>829522.52</v>
      </c>
      <c r="Q160" s="2">
        <f t="shared" si="63"/>
        <v>151515.07</v>
      </c>
      <c r="R160" s="2">
        <f t="shared" si="63"/>
        <v>31808.34</v>
      </c>
      <c r="S160" s="2">
        <f t="shared" si="63"/>
        <v>111945.14</v>
      </c>
      <c r="T160" s="2">
        <f t="shared" si="63"/>
        <v>0</v>
      </c>
      <c r="U160" s="2">
        <f t="shared" si="63"/>
        <v>1544.14</v>
      </c>
      <c r="V160" s="2">
        <f t="shared" si="63"/>
        <v>334.65</v>
      </c>
      <c r="W160" s="2">
        <f t="shared" si="63"/>
        <v>0</v>
      </c>
      <c r="X160" s="2">
        <f t="shared" si="63"/>
        <v>147193.01</v>
      </c>
      <c r="Y160" s="2">
        <f t="shared" si="63"/>
        <v>92360.42</v>
      </c>
      <c r="Z160" s="2"/>
      <c r="AA160" s="2"/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</row>
    <row r="162" spans="1:14" ht="12.75">
      <c r="A162" s="3">
        <v>50</v>
      </c>
      <c r="B162" s="3">
        <v>0</v>
      </c>
      <c r="C162" s="3">
        <v>0</v>
      </c>
      <c r="D162" s="3">
        <v>1</v>
      </c>
      <c r="E162" s="3">
        <v>0</v>
      </c>
      <c r="F162" s="3">
        <f>Source!O160</f>
        <v>1092982.73</v>
      </c>
      <c r="G162" s="3" t="s">
        <v>60</v>
      </c>
      <c r="H162" s="3" t="s">
        <v>61</v>
      </c>
      <c r="I162" s="3"/>
      <c r="J162" s="3"/>
      <c r="K162" s="3">
        <v>201</v>
      </c>
      <c r="L162" s="3">
        <v>1</v>
      </c>
      <c r="M162" s="3">
        <v>3</v>
      </c>
      <c r="N162" s="3" t="s">
        <v>3</v>
      </c>
    </row>
    <row r="163" spans="1:14" ht="12.75">
      <c r="A163" s="3">
        <v>50</v>
      </c>
      <c r="B163" s="3">
        <v>0</v>
      </c>
      <c r="C163" s="3">
        <v>0</v>
      </c>
      <c r="D163" s="3">
        <v>1</v>
      </c>
      <c r="E163" s="3">
        <v>202</v>
      </c>
      <c r="F163" s="3">
        <f>Source!P160</f>
        <v>829522.52</v>
      </c>
      <c r="G163" s="3" t="s">
        <v>62</v>
      </c>
      <c r="H163" s="3" t="s">
        <v>63</v>
      </c>
      <c r="I163" s="3"/>
      <c r="J163" s="3"/>
      <c r="K163" s="3">
        <v>202</v>
      </c>
      <c r="L163" s="3">
        <v>2</v>
      </c>
      <c r="M163" s="3">
        <v>3</v>
      </c>
      <c r="N163" s="3" t="s">
        <v>3</v>
      </c>
    </row>
    <row r="164" spans="1:14" ht="12.75">
      <c r="A164" s="3">
        <v>50</v>
      </c>
      <c r="B164" s="3">
        <v>0</v>
      </c>
      <c r="C164" s="3">
        <v>0</v>
      </c>
      <c r="D164" s="3">
        <v>1</v>
      </c>
      <c r="E164" s="3">
        <v>203</v>
      </c>
      <c r="F164" s="3">
        <f>Source!Q160</f>
        <v>151515.07</v>
      </c>
      <c r="G164" s="3" t="s">
        <v>64</v>
      </c>
      <c r="H164" s="3" t="s">
        <v>65</v>
      </c>
      <c r="I164" s="3"/>
      <c r="J164" s="3"/>
      <c r="K164" s="3">
        <v>203</v>
      </c>
      <c r="L164" s="3">
        <v>3</v>
      </c>
      <c r="M164" s="3">
        <v>3</v>
      </c>
      <c r="N164" s="3" t="s">
        <v>3</v>
      </c>
    </row>
    <row r="165" spans="1:14" ht="12.75">
      <c r="A165" s="3">
        <v>50</v>
      </c>
      <c r="B165" s="3">
        <v>0</v>
      </c>
      <c r="C165" s="3">
        <v>0</v>
      </c>
      <c r="D165" s="3">
        <v>1</v>
      </c>
      <c r="E165" s="3">
        <v>204</v>
      </c>
      <c r="F165" s="3">
        <f>Source!R160</f>
        <v>31808.34</v>
      </c>
      <c r="G165" s="3" t="s">
        <v>66</v>
      </c>
      <c r="H165" s="3" t="s">
        <v>67</v>
      </c>
      <c r="I165" s="3"/>
      <c r="J165" s="3"/>
      <c r="K165" s="3">
        <v>204</v>
      </c>
      <c r="L165" s="3">
        <v>4</v>
      </c>
      <c r="M165" s="3">
        <v>3</v>
      </c>
      <c r="N165" s="3" t="s">
        <v>3</v>
      </c>
    </row>
    <row r="166" spans="1:14" ht="12.75">
      <c r="A166" s="3">
        <v>50</v>
      </c>
      <c r="B166" s="3">
        <v>0</v>
      </c>
      <c r="C166" s="3">
        <v>0</v>
      </c>
      <c r="D166" s="3">
        <v>1</v>
      </c>
      <c r="E166" s="3">
        <v>0</v>
      </c>
      <c r="F166" s="3">
        <f>Source!S160</f>
        <v>111945.14</v>
      </c>
      <c r="G166" s="3" t="s">
        <v>68</v>
      </c>
      <c r="H166" s="3" t="s">
        <v>69</v>
      </c>
      <c r="I166" s="3"/>
      <c r="J166" s="3"/>
      <c r="K166" s="3">
        <v>205</v>
      </c>
      <c r="L166" s="3">
        <v>5</v>
      </c>
      <c r="M166" s="3">
        <v>3</v>
      </c>
      <c r="N166" s="3" t="s">
        <v>3</v>
      </c>
    </row>
    <row r="167" spans="1:14" ht="12.75">
      <c r="A167" s="3">
        <v>50</v>
      </c>
      <c r="B167" s="3">
        <v>0</v>
      </c>
      <c r="C167" s="3">
        <v>0</v>
      </c>
      <c r="D167" s="3">
        <v>1</v>
      </c>
      <c r="E167" s="3">
        <v>206</v>
      </c>
      <c r="F167" s="3">
        <f>Source!T160</f>
        <v>0</v>
      </c>
      <c r="G167" s="3" t="s">
        <v>70</v>
      </c>
      <c r="H167" s="3" t="s">
        <v>71</v>
      </c>
      <c r="I167" s="3"/>
      <c r="J167" s="3"/>
      <c r="K167" s="3">
        <v>206</v>
      </c>
      <c r="L167" s="3">
        <v>6</v>
      </c>
      <c r="M167" s="3">
        <v>3</v>
      </c>
      <c r="N167" s="3" t="s">
        <v>3</v>
      </c>
    </row>
    <row r="168" spans="1:14" ht="12.75">
      <c r="A168" s="3">
        <v>50</v>
      </c>
      <c r="B168" s="3">
        <v>0</v>
      </c>
      <c r="C168" s="3">
        <v>0</v>
      </c>
      <c r="D168" s="3">
        <v>1</v>
      </c>
      <c r="E168" s="3">
        <v>207</v>
      </c>
      <c r="F168" s="3">
        <f>Source!U160</f>
        <v>1544.14</v>
      </c>
      <c r="G168" s="3" t="s">
        <v>72</v>
      </c>
      <c r="H168" s="3" t="s">
        <v>73</v>
      </c>
      <c r="I168" s="3"/>
      <c r="J168" s="3"/>
      <c r="K168" s="3">
        <v>207</v>
      </c>
      <c r="L168" s="3">
        <v>7</v>
      </c>
      <c r="M168" s="3">
        <v>3</v>
      </c>
      <c r="N168" s="3" t="s">
        <v>3</v>
      </c>
    </row>
    <row r="169" spans="1:14" ht="12.75">
      <c r="A169" s="3">
        <v>50</v>
      </c>
      <c r="B169" s="3">
        <v>0</v>
      </c>
      <c r="C169" s="3">
        <v>0</v>
      </c>
      <c r="D169" s="3">
        <v>1</v>
      </c>
      <c r="E169" s="3">
        <v>208</v>
      </c>
      <c r="F169" s="3">
        <f>Source!V160</f>
        <v>334.65</v>
      </c>
      <c r="G169" s="3" t="s">
        <v>74</v>
      </c>
      <c r="H169" s="3" t="s">
        <v>75</v>
      </c>
      <c r="I169" s="3"/>
      <c r="J169" s="3"/>
      <c r="K169" s="3">
        <v>208</v>
      </c>
      <c r="L169" s="3">
        <v>8</v>
      </c>
      <c r="M169" s="3">
        <v>3</v>
      </c>
      <c r="N169" s="3" t="s">
        <v>3</v>
      </c>
    </row>
    <row r="170" spans="1:14" ht="12.75">
      <c r="A170" s="3">
        <v>50</v>
      </c>
      <c r="B170" s="3">
        <v>0</v>
      </c>
      <c r="C170" s="3">
        <v>0</v>
      </c>
      <c r="D170" s="3">
        <v>1</v>
      </c>
      <c r="E170" s="3">
        <v>209</v>
      </c>
      <c r="F170" s="3">
        <f>Source!W160</f>
        <v>0</v>
      </c>
      <c r="G170" s="3" t="s">
        <v>76</v>
      </c>
      <c r="H170" s="3" t="s">
        <v>77</v>
      </c>
      <c r="I170" s="3"/>
      <c r="J170" s="3"/>
      <c r="K170" s="3">
        <v>209</v>
      </c>
      <c r="L170" s="3">
        <v>9</v>
      </c>
      <c r="M170" s="3">
        <v>3</v>
      </c>
      <c r="N170" s="3" t="s">
        <v>3</v>
      </c>
    </row>
    <row r="171" spans="1:14" ht="12.75">
      <c r="A171" s="3">
        <v>50</v>
      </c>
      <c r="B171" s="3">
        <v>0</v>
      </c>
      <c r="C171" s="3">
        <v>0</v>
      </c>
      <c r="D171" s="3">
        <v>1</v>
      </c>
      <c r="E171" s="3">
        <v>0</v>
      </c>
      <c r="F171" s="3">
        <f>Source!X160</f>
        <v>147193.01</v>
      </c>
      <c r="G171" s="3" t="s">
        <v>78</v>
      </c>
      <c r="H171" s="3" t="s">
        <v>79</v>
      </c>
      <c r="I171" s="3"/>
      <c r="J171" s="3"/>
      <c r="K171" s="3">
        <v>210</v>
      </c>
      <c r="L171" s="3">
        <v>10</v>
      </c>
      <c r="M171" s="3">
        <v>3</v>
      </c>
      <c r="N171" s="3" t="s">
        <v>3</v>
      </c>
    </row>
    <row r="172" spans="1:14" ht="12.75">
      <c r="A172" s="3">
        <v>50</v>
      </c>
      <c r="B172" s="3">
        <v>0</v>
      </c>
      <c r="C172" s="3">
        <v>0</v>
      </c>
      <c r="D172" s="3">
        <v>1</v>
      </c>
      <c r="E172" s="3">
        <v>0</v>
      </c>
      <c r="F172" s="3">
        <f>Source!Y160</f>
        <v>92360.42</v>
      </c>
      <c r="G172" s="3" t="s">
        <v>80</v>
      </c>
      <c r="H172" s="3" t="s">
        <v>81</v>
      </c>
      <c r="I172" s="3"/>
      <c r="J172" s="3"/>
      <c r="K172" s="3">
        <v>211</v>
      </c>
      <c r="L172" s="3">
        <v>11</v>
      </c>
      <c r="M172" s="3">
        <v>3</v>
      </c>
      <c r="N172" s="3" t="s">
        <v>3</v>
      </c>
    </row>
    <row r="173" spans="1:14" ht="12.75">
      <c r="A173" s="3">
        <v>50</v>
      </c>
      <c r="B173" s="3">
        <v>0</v>
      </c>
      <c r="C173" s="3">
        <v>0</v>
      </c>
      <c r="D173" s="3">
        <v>2</v>
      </c>
      <c r="E173" s="3">
        <v>201</v>
      </c>
      <c r="F173" s="3">
        <f>ROUND(Source!F162,2)</f>
        <v>1092982.73</v>
      </c>
      <c r="G173" s="3" t="s">
        <v>82</v>
      </c>
      <c r="H173" s="3" t="s">
        <v>83</v>
      </c>
      <c r="I173" s="3"/>
      <c r="J173" s="3"/>
      <c r="K173" s="3">
        <v>212</v>
      </c>
      <c r="L173" s="3">
        <v>12</v>
      </c>
      <c r="M173" s="3">
        <v>3</v>
      </c>
      <c r="N173" s="3" t="s">
        <v>3</v>
      </c>
    </row>
    <row r="174" spans="1:14" ht="12.75">
      <c r="A174" s="3">
        <v>50</v>
      </c>
      <c r="B174" s="3">
        <v>0</v>
      </c>
      <c r="C174" s="3">
        <v>0</v>
      </c>
      <c r="D174" s="3">
        <v>2</v>
      </c>
      <c r="E174" s="3">
        <v>210</v>
      </c>
      <c r="F174" s="3">
        <f>ROUND(Source!F171,2)</f>
        <v>147193.01</v>
      </c>
      <c r="G174" s="3" t="s">
        <v>84</v>
      </c>
      <c r="H174" s="3" t="s">
        <v>85</v>
      </c>
      <c r="I174" s="3"/>
      <c r="J174" s="3"/>
      <c r="K174" s="3">
        <v>212</v>
      </c>
      <c r="L174" s="3">
        <v>13</v>
      </c>
      <c r="M174" s="3">
        <v>3</v>
      </c>
      <c r="N174" s="3" t="s">
        <v>3</v>
      </c>
    </row>
    <row r="175" spans="1:14" ht="12.75">
      <c r="A175" s="3">
        <v>50</v>
      </c>
      <c r="B175" s="3">
        <v>0</v>
      </c>
      <c r="C175" s="3">
        <v>0</v>
      </c>
      <c r="D175" s="3">
        <v>2</v>
      </c>
      <c r="E175" s="3">
        <v>211</v>
      </c>
      <c r="F175" s="3">
        <f>ROUND(Source!F172,2)</f>
        <v>92360.42</v>
      </c>
      <c r="G175" s="3" t="s">
        <v>86</v>
      </c>
      <c r="H175" s="3" t="s">
        <v>87</v>
      </c>
      <c r="I175" s="3"/>
      <c r="J175" s="3"/>
      <c r="K175" s="3">
        <v>212</v>
      </c>
      <c r="L175" s="3">
        <v>14</v>
      </c>
      <c r="M175" s="3">
        <v>3</v>
      </c>
      <c r="N175" s="3" t="s">
        <v>3</v>
      </c>
    </row>
    <row r="176" spans="1:14" ht="12.75">
      <c r="A176" s="3">
        <v>50</v>
      </c>
      <c r="B176" s="3">
        <v>1</v>
      </c>
      <c r="C176" s="3">
        <v>0</v>
      </c>
      <c r="D176" s="3">
        <v>2</v>
      </c>
      <c r="E176" s="3">
        <v>0</v>
      </c>
      <c r="F176" s="3">
        <f>ROUND(Source!F173+Source!F174+Source!F175,2)</f>
        <v>1332536.16</v>
      </c>
      <c r="G176" s="3" t="s">
        <v>88</v>
      </c>
      <c r="H176" s="3" t="s">
        <v>89</v>
      </c>
      <c r="I176" s="3"/>
      <c r="J176" s="3"/>
      <c r="K176" s="3">
        <v>212</v>
      </c>
      <c r="L176" s="3">
        <v>15</v>
      </c>
      <c r="M176" s="3">
        <v>0</v>
      </c>
      <c r="N176" s="3" t="s">
        <v>3</v>
      </c>
    </row>
    <row r="177" spans="1:14" ht="12.75">
      <c r="A177" s="3">
        <v>50</v>
      </c>
      <c r="B177" s="3">
        <v>0</v>
      </c>
      <c r="C177" s="3">
        <v>0</v>
      </c>
      <c r="D177" s="3">
        <v>2</v>
      </c>
      <c r="E177" s="3">
        <v>0</v>
      </c>
      <c r="F177" s="3">
        <f>ROUND(Source!F168+Source!F169,2)</f>
        <v>1878.79</v>
      </c>
      <c r="G177" s="3" t="s">
        <v>90</v>
      </c>
      <c r="H177" s="3" t="s">
        <v>91</v>
      </c>
      <c r="I177" s="3"/>
      <c r="J177" s="3"/>
      <c r="K177" s="3">
        <v>212</v>
      </c>
      <c r="L177" s="3">
        <v>16</v>
      </c>
      <c r="M177" s="3">
        <v>3</v>
      </c>
      <c r="N177" s="3" t="s">
        <v>3</v>
      </c>
    </row>
    <row r="178" spans="1:14" ht="12.75">
      <c r="A178" s="3">
        <v>50</v>
      </c>
      <c r="B178" s="3">
        <v>0</v>
      </c>
      <c r="C178" s="3">
        <v>0</v>
      </c>
      <c r="D178" s="3">
        <v>2</v>
      </c>
      <c r="E178" s="3">
        <v>205</v>
      </c>
      <c r="F178" s="3">
        <f>ROUND(Source!F166+Source!F165,2)</f>
        <v>143753.48</v>
      </c>
      <c r="G178" s="3" t="s">
        <v>92</v>
      </c>
      <c r="H178" s="3" t="s">
        <v>93</v>
      </c>
      <c r="I178" s="3"/>
      <c r="J178" s="3"/>
      <c r="K178" s="3">
        <v>212</v>
      </c>
      <c r="L178" s="3">
        <v>17</v>
      </c>
      <c r="M178" s="3">
        <v>3</v>
      </c>
      <c r="N178" s="3" t="s">
        <v>3</v>
      </c>
    </row>
    <row r="179" spans="1:14" ht="12.75">
      <c r="A179" s="3">
        <v>50</v>
      </c>
      <c r="B179" s="3">
        <f>IF(Source!F179&lt;&gt;0,1,0)</f>
        <v>1</v>
      </c>
      <c r="C179" s="3">
        <v>0</v>
      </c>
      <c r="D179" s="3">
        <v>2</v>
      </c>
      <c r="E179" s="3">
        <v>0</v>
      </c>
      <c r="F179" s="3">
        <f>ROUND(1.2,2)</f>
        <v>1.2</v>
      </c>
      <c r="G179" s="3" t="s">
        <v>94</v>
      </c>
      <c r="H179" s="3" t="s">
        <v>95</v>
      </c>
      <c r="I179" s="3"/>
      <c r="J179" s="3"/>
      <c r="K179" s="3">
        <v>212</v>
      </c>
      <c r="L179" s="3">
        <v>18</v>
      </c>
      <c r="M179" s="3">
        <v>1</v>
      </c>
      <c r="N179" s="3" t="s">
        <v>96</v>
      </c>
    </row>
    <row r="180" spans="1:14" ht="12.75">
      <c r="A180" s="3">
        <v>50</v>
      </c>
      <c r="B180" s="3">
        <f>IF(Source!F180&lt;&gt;0,1,0)</f>
        <v>1</v>
      </c>
      <c r="C180" s="3">
        <v>0</v>
      </c>
      <c r="D180" s="3">
        <v>2</v>
      </c>
      <c r="E180" s="3">
        <v>0</v>
      </c>
      <c r="F180" s="3">
        <f>ROUND(IF(Source!F179&gt;0,Source!F176*(Source!F179/100+1),0),2)</f>
        <v>1348526.59</v>
      </c>
      <c r="G180" s="3" t="s">
        <v>97</v>
      </c>
      <c r="H180" s="3" t="s">
        <v>98</v>
      </c>
      <c r="I180" s="3"/>
      <c r="J180" s="3"/>
      <c r="K180" s="3">
        <v>212</v>
      </c>
      <c r="L180" s="3">
        <v>19</v>
      </c>
      <c r="M180" s="3">
        <v>1</v>
      </c>
      <c r="N180" s="3" t="s">
        <v>3</v>
      </c>
    </row>
    <row r="181" spans="1:14" ht="12.75">
      <c r="A181" s="3">
        <v>50</v>
      </c>
      <c r="B181" s="3">
        <f>IF(Source!F181&lt;&gt;0,1,0)</f>
        <v>0</v>
      </c>
      <c r="C181" s="3">
        <v>0</v>
      </c>
      <c r="D181" s="3">
        <v>2</v>
      </c>
      <c r="E181" s="3">
        <v>0</v>
      </c>
      <c r="F181" s="3">
        <v>0</v>
      </c>
      <c r="G181" s="3" t="s">
        <v>99</v>
      </c>
      <c r="H181" s="3" t="s">
        <v>100</v>
      </c>
      <c r="I181" s="3"/>
      <c r="J181" s="3"/>
      <c r="K181" s="3">
        <v>212</v>
      </c>
      <c r="L181" s="3">
        <v>20</v>
      </c>
      <c r="M181" s="3">
        <v>1</v>
      </c>
      <c r="N181" s="3" t="s">
        <v>101</v>
      </c>
    </row>
    <row r="182" spans="1:14" ht="12.75">
      <c r="A182" s="3">
        <v>50</v>
      </c>
      <c r="B182" s="3">
        <f>IF(Source!F182&lt;&gt;0,1,0)</f>
        <v>0</v>
      </c>
      <c r="C182" s="3">
        <v>0</v>
      </c>
      <c r="D182" s="3">
        <v>2</v>
      </c>
      <c r="E182" s="3">
        <v>0</v>
      </c>
      <c r="F182" s="3">
        <f>ROUND(IF(Source!F181&gt;0,IF(Source!F179&gt;0,Source!F180*(Source!F181/100+1),Source!F176*(Source!F181/100+1)),0),2)</f>
        <v>0</v>
      </c>
      <c r="G182" s="3" t="s">
        <v>102</v>
      </c>
      <c r="H182" s="3" t="s">
        <v>103</v>
      </c>
      <c r="I182" s="3"/>
      <c r="J182" s="3"/>
      <c r="K182" s="3">
        <v>212</v>
      </c>
      <c r="L182" s="3">
        <v>21</v>
      </c>
      <c r="M182" s="3">
        <v>1</v>
      </c>
      <c r="N182" s="3" t="s">
        <v>3</v>
      </c>
    </row>
    <row r="183" spans="1:14" ht="12.75">
      <c r="A183" s="3">
        <v>50</v>
      </c>
      <c r="B183" s="3">
        <v>1</v>
      </c>
      <c r="C183" s="3">
        <v>0</v>
      </c>
      <c r="D183" s="3">
        <v>2</v>
      </c>
      <c r="E183" s="3">
        <v>0</v>
      </c>
      <c r="F183" s="3">
        <f>ROUND(IF(Source!F182&gt;0,Source!F182*0.18,IF(Source!F179&gt;0,Source!F180*0.18,Source!F176*0.18)),2)</f>
        <v>242734.79</v>
      </c>
      <c r="G183" s="3" t="s">
        <v>104</v>
      </c>
      <c r="H183" s="3" t="s">
        <v>105</v>
      </c>
      <c r="I183" s="3"/>
      <c r="J183" s="3"/>
      <c r="K183" s="3">
        <v>212</v>
      </c>
      <c r="L183" s="3">
        <v>22</v>
      </c>
      <c r="M183" s="3">
        <v>0</v>
      </c>
      <c r="N183" s="3" t="s">
        <v>3</v>
      </c>
    </row>
    <row r="184" spans="1:14" ht="12.75">
      <c r="A184" s="3">
        <v>50</v>
      </c>
      <c r="B184" s="3">
        <v>1</v>
      </c>
      <c r="C184" s="3">
        <v>0</v>
      </c>
      <c r="D184" s="3">
        <v>2</v>
      </c>
      <c r="E184" s="3">
        <v>213</v>
      </c>
      <c r="F184" s="3">
        <f>ROUND(Source!F183/18*100+Source!F183,2)</f>
        <v>1591261.4</v>
      </c>
      <c r="G184" s="3" t="s">
        <v>106</v>
      </c>
      <c r="H184" s="3" t="s">
        <v>106</v>
      </c>
      <c r="I184" s="3"/>
      <c r="J184" s="3"/>
      <c r="K184" s="3">
        <v>212</v>
      </c>
      <c r="L184" s="3">
        <v>23</v>
      </c>
      <c r="M184" s="3">
        <v>0</v>
      </c>
      <c r="N184" s="3" t="s">
        <v>3</v>
      </c>
    </row>
    <row r="187" spans="1:13" ht="12.75">
      <c r="A187">
        <v>70</v>
      </c>
      <c r="B187">
        <v>1</v>
      </c>
      <c r="D187">
        <v>0</v>
      </c>
      <c r="E187" t="s">
        <v>156</v>
      </c>
      <c r="F187" t="s">
        <v>157</v>
      </c>
      <c r="G187">
        <v>1</v>
      </c>
      <c r="H187">
        <v>0.85</v>
      </c>
      <c r="I187" t="s">
        <v>158</v>
      </c>
      <c r="J187">
        <v>0</v>
      </c>
      <c r="K187">
        <v>0</v>
      </c>
    </row>
    <row r="188" spans="1:13" ht="12.75">
      <c r="A188">
        <v>70</v>
      </c>
      <c r="B188">
        <v>1</v>
      </c>
      <c r="D188">
        <v>0</v>
      </c>
      <c r="E188" t="s">
        <v>159</v>
      </c>
      <c r="F188" t="s">
        <v>160</v>
      </c>
      <c r="G188">
        <v>0.94</v>
      </c>
      <c r="H188">
        <v>0.94</v>
      </c>
      <c r="I188" t="s">
        <v>161</v>
      </c>
      <c r="J188">
        <v>0</v>
      </c>
      <c r="K188">
        <v>0</v>
      </c>
    </row>
    <row r="189" spans="1:13" ht="12.75">
      <c r="A189">
        <v>70</v>
      </c>
      <c r="B189">
        <v>1</v>
      </c>
      <c r="D189">
        <v>1</v>
      </c>
      <c r="E189" t="s">
        <v>162</v>
      </c>
      <c r="F189" t="s">
        <v>163</v>
      </c>
      <c r="G189">
        <v>1</v>
      </c>
      <c r="H189">
        <v>1</v>
      </c>
      <c r="I189" t="s">
        <v>164</v>
      </c>
      <c r="J189">
        <v>0</v>
      </c>
      <c r="K189">
        <v>0</v>
      </c>
    </row>
    <row r="190" spans="1:13" ht="12.75">
      <c r="A190">
        <v>70</v>
      </c>
      <c r="B190">
        <v>1</v>
      </c>
      <c r="D190">
        <v>55</v>
      </c>
      <c r="E190" t="s">
        <v>165</v>
      </c>
      <c r="F190" t="s">
        <v>166</v>
      </c>
      <c r="G190">
        <v>1</v>
      </c>
      <c r="H190">
        <v>1</v>
      </c>
      <c r="I190" t="s">
        <v>167</v>
      </c>
      <c r="J190">
        <v>0</v>
      </c>
      <c r="K190">
        <v>0</v>
      </c>
    </row>
    <row r="191" spans="1:13" ht="12.75">
      <c r="A191">
        <v>70</v>
      </c>
      <c r="B191">
        <v>1</v>
      </c>
      <c r="D191">
        <v>0</v>
      </c>
      <c r="E191" t="s">
        <v>168</v>
      </c>
      <c r="F191" t="s">
        <v>169</v>
      </c>
      <c r="G191">
        <v>0</v>
      </c>
      <c r="H191">
        <v>0</v>
      </c>
      <c r="I191" t="s">
        <v>170</v>
      </c>
      <c r="J191">
        <v>0</v>
      </c>
      <c r="K191">
        <v>0</v>
      </c>
    </row>
    <row r="192" spans="1:13" ht="12.75">
      <c r="A192">
        <v>70</v>
      </c>
      <c r="B192">
        <v>1</v>
      </c>
      <c r="D192">
        <v>52</v>
      </c>
      <c r="E192" t="s">
        <v>171</v>
      </c>
      <c r="F192" t="s">
        <v>172</v>
      </c>
      <c r="G192">
        <v>1</v>
      </c>
      <c r="H192">
        <v>1</v>
      </c>
      <c r="I192" t="s">
        <v>173</v>
      </c>
      <c r="J192">
        <v>0</v>
      </c>
      <c r="K192">
        <v>0</v>
      </c>
    </row>
    <row r="193" spans="1:13" ht="12.75">
      <c r="A193">
        <v>70</v>
      </c>
      <c r="B193">
        <v>1</v>
      </c>
      <c r="D193">
        <v>56</v>
      </c>
      <c r="E193" t="s">
        <v>174</v>
      </c>
      <c r="F193" t="s">
        <v>175</v>
      </c>
      <c r="G193">
        <v>1</v>
      </c>
      <c r="H193">
        <v>1</v>
      </c>
      <c r="I193" t="s">
        <v>176</v>
      </c>
      <c r="J193">
        <v>0</v>
      </c>
      <c r="K193">
        <v>0</v>
      </c>
    </row>
    <row r="194" spans="1:13" ht="12.75">
      <c r="A194">
        <v>70</v>
      </c>
      <c r="B194">
        <v>1</v>
      </c>
      <c r="D194">
        <v>53</v>
      </c>
      <c r="E194" t="s">
        <v>177</v>
      </c>
      <c r="F194" t="s">
        <v>178</v>
      </c>
      <c r="G194">
        <v>0</v>
      </c>
      <c r="H194">
        <v>0</v>
      </c>
      <c r="I194" t="s">
        <v>179</v>
      </c>
      <c r="J194">
        <v>0</v>
      </c>
      <c r="K194">
        <v>0</v>
      </c>
    </row>
    <row r="195" spans="1:13" ht="12.75">
      <c r="A195">
        <v>70</v>
      </c>
      <c r="B195">
        <v>1</v>
      </c>
      <c r="D195">
        <v>24</v>
      </c>
      <c r="E195" t="s">
        <v>180</v>
      </c>
      <c r="F195" t="s">
        <v>181</v>
      </c>
      <c r="G195">
        <v>1</v>
      </c>
      <c r="H195">
        <v>1.68</v>
      </c>
      <c r="I195" t="s">
        <v>182</v>
      </c>
      <c r="J195">
        <v>0</v>
      </c>
      <c r="K195">
        <v>0</v>
      </c>
    </row>
    <row r="196" spans="1:13" ht="12.75">
      <c r="A196">
        <v>70</v>
      </c>
      <c r="B196">
        <v>1</v>
      </c>
      <c r="D196">
        <v>25</v>
      </c>
      <c r="E196" t="s">
        <v>183</v>
      </c>
      <c r="F196" t="s">
        <v>184</v>
      </c>
      <c r="G196">
        <v>1</v>
      </c>
      <c r="H196">
        <v>2.05</v>
      </c>
      <c r="I196" t="s">
        <v>185</v>
      </c>
      <c r="J196">
        <v>0</v>
      </c>
      <c r="K196">
        <v>0</v>
      </c>
    </row>
    <row r="197" spans="1:13" ht="12.75">
      <c r="A197">
        <v>70</v>
      </c>
      <c r="B197">
        <v>1</v>
      </c>
      <c r="D197">
        <v>26</v>
      </c>
      <c r="E197" t="s">
        <v>186</v>
      </c>
      <c r="F197" t="s">
        <v>187</v>
      </c>
      <c r="G197">
        <v>1</v>
      </c>
      <c r="H197">
        <v>2.4</v>
      </c>
      <c r="I197" t="s">
        <v>188</v>
      </c>
      <c r="J197">
        <v>0</v>
      </c>
      <c r="K197">
        <v>0</v>
      </c>
    </row>
    <row r="198" spans="1:13" ht="12.75">
      <c r="A198">
        <v>70</v>
      </c>
      <c r="B198">
        <v>1</v>
      </c>
      <c r="D198">
        <v>27</v>
      </c>
      <c r="E198" t="s">
        <v>189</v>
      </c>
      <c r="F198" t="s">
        <v>190</v>
      </c>
      <c r="G198">
        <v>1</v>
      </c>
      <c r="H198">
        <v>2.8</v>
      </c>
      <c r="I198" t="s">
        <v>191</v>
      </c>
      <c r="J198">
        <v>0</v>
      </c>
      <c r="K198">
        <v>0</v>
      </c>
    </row>
    <row r="199" spans="1:13" ht="12.75">
      <c r="A199">
        <v>70</v>
      </c>
      <c r="B199">
        <v>1</v>
      </c>
      <c r="D199">
        <v>54</v>
      </c>
      <c r="E199" t="s">
        <v>192</v>
      </c>
      <c r="F199" t="s">
        <v>193</v>
      </c>
      <c r="G199">
        <v>0</v>
      </c>
      <c r="H199">
        <v>0</v>
      </c>
      <c r="I199" t="s">
        <v>179</v>
      </c>
      <c r="J199">
        <v>0</v>
      </c>
      <c r="K199">
        <v>0</v>
      </c>
    </row>
    <row r="200" spans="1:13" ht="12.75">
      <c r="A200">
        <v>70</v>
      </c>
      <c r="B200">
        <v>1</v>
      </c>
      <c r="D200">
        <v>28</v>
      </c>
      <c r="E200" t="s">
        <v>194</v>
      </c>
      <c r="F200" t="s">
        <v>195</v>
      </c>
      <c r="G200">
        <v>1</v>
      </c>
      <c r="H200">
        <v>3</v>
      </c>
      <c r="I200" t="s">
        <v>196</v>
      </c>
      <c r="J200">
        <v>0</v>
      </c>
      <c r="K200">
        <v>0</v>
      </c>
    </row>
    <row r="201" spans="1:13" ht="12.75">
      <c r="A201">
        <v>70</v>
      </c>
      <c r="B201">
        <v>1</v>
      </c>
      <c r="D201">
        <v>29</v>
      </c>
      <c r="E201" t="s">
        <v>197</v>
      </c>
      <c r="F201" t="s">
        <v>198</v>
      </c>
      <c r="G201">
        <v>1</v>
      </c>
      <c r="H201">
        <v>2</v>
      </c>
      <c r="I201" t="s">
        <v>199</v>
      </c>
      <c r="J201">
        <v>0</v>
      </c>
      <c r="K201">
        <v>0</v>
      </c>
    </row>
    <row r="202" spans="1:13" ht="12.75">
      <c r="A202">
        <v>70</v>
      </c>
      <c r="B202">
        <v>1</v>
      </c>
      <c r="D202">
        <v>2</v>
      </c>
      <c r="E202" t="s">
        <v>200</v>
      </c>
      <c r="F202" t="s">
        <v>201</v>
      </c>
      <c r="G202">
        <v>1</v>
      </c>
      <c r="H202">
        <v>1.2</v>
      </c>
      <c r="I202" t="s">
        <v>202</v>
      </c>
      <c r="J202">
        <v>0</v>
      </c>
      <c r="K202">
        <v>0</v>
      </c>
    </row>
    <row r="203" spans="1:13" ht="12.75">
      <c r="A203">
        <v>70</v>
      </c>
      <c r="B203">
        <v>1</v>
      </c>
      <c r="D203">
        <v>4</v>
      </c>
      <c r="E203" t="s">
        <v>203</v>
      </c>
      <c r="F203" t="s">
        <v>204</v>
      </c>
      <c r="G203">
        <v>1</v>
      </c>
      <c r="H203">
        <v>1.2</v>
      </c>
      <c r="I203" t="s">
        <v>205</v>
      </c>
      <c r="J203">
        <v>0</v>
      </c>
      <c r="K203">
        <v>0</v>
      </c>
    </row>
    <row r="204" spans="1:13" ht="12.75">
      <c r="A204">
        <v>70</v>
      </c>
      <c r="B204">
        <v>1</v>
      </c>
      <c r="D204">
        <v>3</v>
      </c>
      <c r="E204" t="s">
        <v>206</v>
      </c>
      <c r="F204" t="s">
        <v>207</v>
      </c>
      <c r="G204">
        <v>1</v>
      </c>
      <c r="H204">
        <v>1.35</v>
      </c>
      <c r="I204" t="s">
        <v>208</v>
      </c>
      <c r="J204">
        <v>0</v>
      </c>
      <c r="K204">
        <v>0</v>
      </c>
    </row>
    <row r="205" spans="1:13" ht="12.75">
      <c r="A205">
        <v>70</v>
      </c>
      <c r="B205">
        <v>1</v>
      </c>
      <c r="D205">
        <v>6</v>
      </c>
      <c r="E205" t="s">
        <v>209</v>
      </c>
      <c r="F205" t="s">
        <v>210</v>
      </c>
      <c r="G205">
        <v>1</v>
      </c>
      <c r="H205">
        <v>1.5</v>
      </c>
      <c r="I205" t="s">
        <v>211</v>
      </c>
      <c r="J205">
        <v>0</v>
      </c>
      <c r="K205">
        <v>0</v>
      </c>
    </row>
    <row r="206" spans="1:13" ht="12.75">
      <c r="A206">
        <v>70</v>
      </c>
      <c r="B206">
        <v>1</v>
      </c>
      <c r="D206">
        <v>7</v>
      </c>
      <c r="E206" t="s">
        <v>212</v>
      </c>
      <c r="F206" t="s">
        <v>213</v>
      </c>
      <c r="G206">
        <v>1</v>
      </c>
      <c r="H206">
        <v>1.5</v>
      </c>
      <c r="I206" t="s">
        <v>214</v>
      </c>
      <c r="J206">
        <v>0</v>
      </c>
      <c r="K206">
        <v>0</v>
      </c>
    </row>
    <row r="207" spans="1:13" ht="12.75">
      <c r="A207">
        <v>70</v>
      </c>
      <c r="B207">
        <v>1</v>
      </c>
      <c r="D207">
        <v>8</v>
      </c>
      <c r="E207" t="s">
        <v>215</v>
      </c>
      <c r="F207" t="s">
        <v>216</v>
      </c>
      <c r="G207">
        <v>1</v>
      </c>
      <c r="H207">
        <v>1.35</v>
      </c>
      <c r="I207" t="s">
        <v>217</v>
      </c>
      <c r="J207">
        <v>0</v>
      </c>
      <c r="K207">
        <v>0</v>
      </c>
    </row>
    <row r="208" spans="1:13" ht="12.75">
      <c r="A208">
        <v>70</v>
      </c>
      <c r="B208">
        <v>1</v>
      </c>
      <c r="D208">
        <v>9</v>
      </c>
      <c r="E208" t="s">
        <v>218</v>
      </c>
      <c r="F208" t="s">
        <v>219</v>
      </c>
      <c r="G208">
        <v>1</v>
      </c>
      <c r="H208">
        <v>1.7</v>
      </c>
      <c r="I208" t="s">
        <v>220</v>
      </c>
      <c r="J208">
        <v>0</v>
      </c>
      <c r="K208">
        <v>0</v>
      </c>
    </row>
    <row r="209" spans="1:13" ht="12.75">
      <c r="A209">
        <v>70</v>
      </c>
      <c r="B209">
        <v>1</v>
      </c>
      <c r="D209">
        <v>10</v>
      </c>
      <c r="E209" t="s">
        <v>221</v>
      </c>
      <c r="F209" t="s">
        <v>216</v>
      </c>
      <c r="G209">
        <v>1</v>
      </c>
      <c r="H209">
        <v>1.55</v>
      </c>
      <c r="I209" t="s">
        <v>222</v>
      </c>
      <c r="J209">
        <v>0</v>
      </c>
      <c r="K209">
        <v>0</v>
      </c>
    </row>
    <row r="210" spans="1:13" ht="12.75">
      <c r="A210">
        <v>70</v>
      </c>
      <c r="B210">
        <v>1</v>
      </c>
      <c r="D210">
        <v>11</v>
      </c>
      <c r="E210" t="s">
        <v>223</v>
      </c>
      <c r="F210" t="s">
        <v>224</v>
      </c>
      <c r="G210">
        <v>1</v>
      </c>
      <c r="H210">
        <v>2.05</v>
      </c>
      <c r="I210" t="s">
        <v>225</v>
      </c>
      <c r="J210">
        <v>0</v>
      </c>
      <c r="K210">
        <v>0</v>
      </c>
    </row>
    <row r="211" spans="1:13" ht="12.75">
      <c r="A211">
        <v>70</v>
      </c>
      <c r="B211">
        <v>1</v>
      </c>
      <c r="D211">
        <v>12</v>
      </c>
      <c r="E211" t="s">
        <v>226</v>
      </c>
      <c r="F211" t="s">
        <v>227</v>
      </c>
      <c r="G211">
        <v>1</v>
      </c>
      <c r="H211">
        <v>1.9</v>
      </c>
      <c r="I211" t="s">
        <v>228</v>
      </c>
      <c r="J211">
        <v>0</v>
      </c>
      <c r="K211">
        <v>0</v>
      </c>
    </row>
    <row r="212" spans="1:13" ht="12.75">
      <c r="A212">
        <v>70</v>
      </c>
      <c r="B212">
        <v>1</v>
      </c>
      <c r="D212">
        <v>13</v>
      </c>
      <c r="E212" t="s">
        <v>229</v>
      </c>
      <c r="F212" t="s">
        <v>230</v>
      </c>
      <c r="G212">
        <v>1</v>
      </c>
      <c r="H212">
        <v>2.3</v>
      </c>
      <c r="I212" t="s">
        <v>231</v>
      </c>
      <c r="J212">
        <v>0</v>
      </c>
      <c r="K212">
        <v>0</v>
      </c>
    </row>
    <row r="213" spans="1:13" ht="12.75">
      <c r="A213">
        <v>70</v>
      </c>
      <c r="B213">
        <v>1</v>
      </c>
      <c r="D213">
        <v>14</v>
      </c>
      <c r="E213" t="s">
        <v>232</v>
      </c>
      <c r="F213" t="s">
        <v>227</v>
      </c>
      <c r="G213">
        <v>1</v>
      </c>
      <c r="H213">
        <v>2.15</v>
      </c>
      <c r="I213" t="s">
        <v>233</v>
      </c>
      <c r="J213">
        <v>0</v>
      </c>
      <c r="K213">
        <v>0</v>
      </c>
    </row>
    <row r="214" spans="1:13" ht="12.75">
      <c r="A214">
        <v>70</v>
      </c>
      <c r="B214">
        <v>1</v>
      </c>
      <c r="D214">
        <v>15</v>
      </c>
      <c r="E214" t="s">
        <v>234</v>
      </c>
      <c r="F214" t="s">
        <v>235</v>
      </c>
      <c r="G214">
        <v>1</v>
      </c>
      <c r="H214">
        <v>1.15</v>
      </c>
      <c r="I214" t="s">
        <v>236</v>
      </c>
      <c r="J214">
        <v>0</v>
      </c>
      <c r="K214">
        <v>0</v>
      </c>
    </row>
    <row r="215" spans="1:13" ht="12.75">
      <c r="A215">
        <v>70</v>
      </c>
      <c r="B215">
        <v>1</v>
      </c>
      <c r="D215">
        <v>16</v>
      </c>
      <c r="E215" t="s">
        <v>237</v>
      </c>
      <c r="F215" t="s">
        <v>238</v>
      </c>
      <c r="G215">
        <v>1</v>
      </c>
      <c r="H215">
        <v>1.25</v>
      </c>
      <c r="I215" t="s">
        <v>239</v>
      </c>
      <c r="J215">
        <v>0</v>
      </c>
      <c r="K215">
        <v>0</v>
      </c>
    </row>
    <row r="216" spans="1:13" ht="12.75">
      <c r="A216">
        <v>70</v>
      </c>
      <c r="B216">
        <v>1</v>
      </c>
      <c r="D216">
        <v>17</v>
      </c>
      <c r="E216" t="s">
        <v>240</v>
      </c>
      <c r="F216" t="s">
        <v>241</v>
      </c>
      <c r="G216">
        <v>1</v>
      </c>
      <c r="H216">
        <v>1.2</v>
      </c>
      <c r="I216" t="s">
        <v>242</v>
      </c>
      <c r="J216">
        <v>0</v>
      </c>
      <c r="K216">
        <v>0</v>
      </c>
    </row>
    <row r="217" spans="1:13" ht="12.75">
      <c r="A217">
        <v>70</v>
      </c>
      <c r="B217">
        <v>1</v>
      </c>
      <c r="D217">
        <v>18</v>
      </c>
      <c r="E217" t="s">
        <v>243</v>
      </c>
      <c r="F217" t="s">
        <v>244</v>
      </c>
      <c r="G217">
        <v>1</v>
      </c>
      <c r="H217">
        <v>1.1</v>
      </c>
      <c r="I217" t="s">
        <v>245</v>
      </c>
      <c r="J217">
        <v>0</v>
      </c>
      <c r="K217">
        <v>0</v>
      </c>
    </row>
    <row r="218" spans="1:13" ht="12.75">
      <c r="A218">
        <v>70</v>
      </c>
      <c r="B218">
        <v>1</v>
      </c>
      <c r="D218">
        <v>19</v>
      </c>
      <c r="E218" t="s">
        <v>246</v>
      </c>
      <c r="F218" t="s">
        <v>247</v>
      </c>
      <c r="G218">
        <v>1</v>
      </c>
      <c r="H218">
        <v>1.15</v>
      </c>
      <c r="I218" t="s">
        <v>248</v>
      </c>
      <c r="J218">
        <v>0</v>
      </c>
      <c r="K218">
        <v>0</v>
      </c>
    </row>
    <row r="219" spans="1:13" ht="12.75">
      <c r="A219">
        <v>70</v>
      </c>
      <c r="B219">
        <v>1</v>
      </c>
      <c r="D219">
        <v>20</v>
      </c>
      <c r="E219" t="s">
        <v>249</v>
      </c>
      <c r="F219" t="s">
        <v>250</v>
      </c>
      <c r="G219">
        <v>1</v>
      </c>
      <c r="H219">
        <v>1.15</v>
      </c>
      <c r="I219" t="s">
        <v>251</v>
      </c>
      <c r="J219">
        <v>0</v>
      </c>
      <c r="K219">
        <v>0</v>
      </c>
    </row>
    <row r="220" spans="1:13" ht="12.75">
      <c r="A220">
        <v>70</v>
      </c>
      <c r="B220">
        <v>1</v>
      </c>
      <c r="D220">
        <v>21</v>
      </c>
      <c r="E220" t="s">
        <v>252</v>
      </c>
      <c r="F220" t="s">
        <v>253</v>
      </c>
      <c r="G220">
        <v>1</v>
      </c>
      <c r="H220">
        <v>1.25</v>
      </c>
      <c r="I220" t="s">
        <v>254</v>
      </c>
      <c r="J220">
        <v>0</v>
      </c>
      <c r="K220">
        <v>0</v>
      </c>
    </row>
    <row r="221" spans="1:13" ht="12.75">
      <c r="A221">
        <v>70</v>
      </c>
      <c r="B221">
        <v>1</v>
      </c>
      <c r="D221">
        <v>22</v>
      </c>
      <c r="E221" t="s">
        <v>255</v>
      </c>
      <c r="F221" t="s">
        <v>256</v>
      </c>
      <c r="G221">
        <v>1</v>
      </c>
      <c r="H221">
        <v>1.35</v>
      </c>
      <c r="I221" t="s">
        <v>257</v>
      </c>
      <c r="J221">
        <v>0</v>
      </c>
      <c r="K221">
        <v>0</v>
      </c>
    </row>
    <row r="222" spans="1:13" ht="12.75">
      <c r="A222">
        <v>70</v>
      </c>
      <c r="B222">
        <v>1</v>
      </c>
      <c r="D222">
        <v>23</v>
      </c>
      <c r="E222" t="s">
        <v>258</v>
      </c>
      <c r="F222" t="s">
        <v>259</v>
      </c>
      <c r="G222">
        <v>1</v>
      </c>
      <c r="H222">
        <v>1.5</v>
      </c>
      <c r="I222" t="s">
        <v>260</v>
      </c>
      <c r="J222">
        <v>0</v>
      </c>
      <c r="K222">
        <v>0</v>
      </c>
    </row>
    <row r="223" spans="1:13" ht="12.75">
      <c r="A223">
        <v>70</v>
      </c>
      <c r="B223">
        <v>1</v>
      </c>
      <c r="D223">
        <v>44</v>
      </c>
      <c r="E223" t="s">
        <v>261</v>
      </c>
      <c r="F223" t="s">
        <v>262</v>
      </c>
      <c r="G223">
        <v>1</v>
      </c>
      <c r="H223">
        <v>1.35</v>
      </c>
      <c r="I223" t="s">
        <v>263</v>
      </c>
      <c r="J223">
        <v>0</v>
      </c>
      <c r="K223">
        <v>0</v>
      </c>
    </row>
    <row r="224" spans="1:13" ht="12.75">
      <c r="A224">
        <v>70</v>
      </c>
      <c r="B224">
        <v>1</v>
      </c>
      <c r="D224">
        <v>46</v>
      </c>
      <c r="E224" t="s">
        <v>264</v>
      </c>
      <c r="F224" t="s">
        <v>265</v>
      </c>
      <c r="G224">
        <v>0</v>
      </c>
      <c r="H224">
        <v>0</v>
      </c>
      <c r="I224" t="s">
        <v>179</v>
      </c>
      <c r="J224">
        <v>0</v>
      </c>
      <c r="K224">
        <v>0</v>
      </c>
    </row>
    <row r="225" spans="1:13" ht="12.75">
      <c r="A225">
        <v>70</v>
      </c>
      <c r="B225">
        <v>1</v>
      </c>
      <c r="D225">
        <v>47</v>
      </c>
      <c r="E225" t="s">
        <v>266</v>
      </c>
      <c r="F225" t="s">
        <v>267</v>
      </c>
      <c r="G225">
        <v>1</v>
      </c>
      <c r="H225">
        <v>1.15</v>
      </c>
      <c r="I225" t="s">
        <v>268</v>
      </c>
      <c r="J225">
        <v>0</v>
      </c>
      <c r="K225">
        <v>0</v>
      </c>
    </row>
    <row r="226" spans="1:13" ht="12.75">
      <c r="A226">
        <v>70</v>
      </c>
      <c r="B226">
        <v>1</v>
      </c>
      <c r="D226">
        <v>48</v>
      </c>
      <c r="E226" t="s">
        <v>269</v>
      </c>
      <c r="F226" t="s">
        <v>270</v>
      </c>
      <c r="G226">
        <v>1</v>
      </c>
      <c r="H226">
        <v>1.25</v>
      </c>
      <c r="I226" t="s">
        <v>271</v>
      </c>
      <c r="J226">
        <v>0</v>
      </c>
      <c r="K226">
        <v>0</v>
      </c>
    </row>
    <row r="227" spans="1:13" ht="12.75">
      <c r="A227">
        <v>70</v>
      </c>
      <c r="B227">
        <v>1</v>
      </c>
      <c r="D227">
        <v>49</v>
      </c>
      <c r="E227" t="s">
        <v>272</v>
      </c>
      <c r="F227" t="s">
        <v>273</v>
      </c>
      <c r="G227">
        <v>1</v>
      </c>
      <c r="H227">
        <v>1.1</v>
      </c>
      <c r="I227" t="s">
        <v>274</v>
      </c>
      <c r="J227">
        <v>0</v>
      </c>
      <c r="K227">
        <v>0</v>
      </c>
    </row>
    <row r="228" spans="1:13" ht="12.75">
      <c r="A228">
        <v>70</v>
      </c>
      <c r="B228">
        <v>1</v>
      </c>
      <c r="D228">
        <v>45</v>
      </c>
      <c r="E228" t="s">
        <v>275</v>
      </c>
      <c r="F228" t="s">
        <v>276</v>
      </c>
      <c r="G228">
        <v>1</v>
      </c>
      <c r="H228">
        <v>1.5</v>
      </c>
      <c r="I228" t="s">
        <v>277</v>
      </c>
      <c r="J228">
        <v>0</v>
      </c>
      <c r="K228">
        <v>0</v>
      </c>
    </row>
    <row r="229" spans="1:13" ht="12.75">
      <c r="A229">
        <v>70</v>
      </c>
      <c r="B229">
        <v>1</v>
      </c>
      <c r="D229">
        <v>51</v>
      </c>
      <c r="E229" t="s">
        <v>278</v>
      </c>
      <c r="F229" t="s">
        <v>279</v>
      </c>
      <c r="G229">
        <v>1</v>
      </c>
      <c r="H229">
        <v>1.1</v>
      </c>
      <c r="I229" t="s">
        <v>280</v>
      </c>
      <c r="J229">
        <v>0</v>
      </c>
      <c r="K229">
        <v>0</v>
      </c>
    </row>
    <row r="230" spans="1:13" ht="12.75">
      <c r="A230">
        <v>70</v>
      </c>
      <c r="B230">
        <v>1</v>
      </c>
      <c r="D230">
        <v>50</v>
      </c>
      <c r="E230" t="s">
        <v>281</v>
      </c>
      <c r="F230" t="s">
        <v>282</v>
      </c>
      <c r="G230">
        <v>1</v>
      </c>
      <c r="H230">
        <v>1.35</v>
      </c>
      <c r="I230" t="s">
        <v>283</v>
      </c>
      <c r="J230">
        <v>0</v>
      </c>
      <c r="K230">
        <v>0</v>
      </c>
    </row>
    <row r="233" spans="1:5" ht="12.75">
      <c r="A233">
        <v>65</v>
      </c>
      <c r="C233">
        <v>1</v>
      </c>
      <c r="D233">
        <v>0</v>
      </c>
      <c r="E233">
        <v>150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96"/>
  <sheetViews>
    <sheetView workbookViewId="0" topLeftCell="A1">
      <selection activeCell="A1" sqref="A1"/>
    </sheetView>
  </sheetViews>
  <sheetFormatPr defaultColWidth="9.140625" defaultRowHeight="12.75"/>
  <sheetData>
    <row r="1" spans="1:48" ht="12.75">
      <c r="A1">
        <f>ROW(Source!A28)</f>
        <v>28</v>
      </c>
      <c r="B1">
        <v>7345544</v>
      </c>
      <c r="C1">
        <v>7299315</v>
      </c>
      <c r="D1">
        <v>5516543</v>
      </c>
      <c r="E1">
        <v>1</v>
      </c>
      <c r="F1">
        <v>1</v>
      </c>
      <c r="G1">
        <v>1</v>
      </c>
      <c r="H1">
        <v>1</v>
      </c>
      <c r="I1" t="s">
        <v>284</v>
      </c>
      <c r="K1" t="s">
        <v>285</v>
      </c>
      <c r="L1">
        <v>1369</v>
      </c>
      <c r="N1">
        <v>1013</v>
      </c>
      <c r="O1" t="s">
        <v>286</v>
      </c>
      <c r="P1" t="s">
        <v>286</v>
      </c>
      <c r="Q1">
        <v>1</v>
      </c>
      <c r="Y1">
        <v>38.26</v>
      </c>
      <c r="AA1">
        <v>0</v>
      </c>
      <c r="AB1">
        <v>0</v>
      </c>
      <c r="AC1">
        <v>0</v>
      </c>
      <c r="AD1">
        <v>8.24</v>
      </c>
      <c r="AN1">
        <v>0</v>
      </c>
      <c r="AO1">
        <v>1</v>
      </c>
      <c r="AP1">
        <v>0</v>
      </c>
      <c r="AQ1">
        <v>0</v>
      </c>
      <c r="AR1">
        <v>0</v>
      </c>
      <c r="AT1">
        <v>38.26</v>
      </c>
      <c r="AV1">
        <v>1</v>
      </c>
    </row>
    <row r="2" spans="1:48" ht="12.75">
      <c r="A2">
        <f>ROW(Source!A28)</f>
        <v>28</v>
      </c>
      <c r="B2">
        <v>7345545</v>
      </c>
      <c r="C2">
        <v>7299315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26</v>
      </c>
      <c r="K2" t="s">
        <v>287</v>
      </c>
      <c r="L2">
        <v>608254</v>
      </c>
      <c r="N2">
        <v>1013</v>
      </c>
      <c r="O2" t="s">
        <v>288</v>
      </c>
      <c r="P2" t="s">
        <v>288</v>
      </c>
      <c r="Q2">
        <v>1</v>
      </c>
      <c r="Y2">
        <v>16.36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16.36</v>
      </c>
      <c r="AV2">
        <v>2</v>
      </c>
    </row>
    <row r="3" spans="1:48" ht="12.75">
      <c r="A3">
        <f>ROW(Source!A28)</f>
        <v>28</v>
      </c>
      <c r="B3">
        <v>7345546</v>
      </c>
      <c r="C3">
        <v>7299315</v>
      </c>
      <c r="D3">
        <v>5493882</v>
      </c>
      <c r="E3">
        <v>1</v>
      </c>
      <c r="F3">
        <v>1</v>
      </c>
      <c r="G3">
        <v>1</v>
      </c>
      <c r="H3">
        <v>2</v>
      </c>
      <c r="I3" t="s">
        <v>289</v>
      </c>
      <c r="J3" t="s">
        <v>290</v>
      </c>
      <c r="K3" t="s">
        <v>291</v>
      </c>
      <c r="L3">
        <v>1368</v>
      </c>
      <c r="N3">
        <v>1011</v>
      </c>
      <c r="O3" t="s">
        <v>292</v>
      </c>
      <c r="P3" t="s">
        <v>292</v>
      </c>
      <c r="Q3">
        <v>1</v>
      </c>
      <c r="Y3">
        <v>10.39</v>
      </c>
      <c r="AA3">
        <v>0</v>
      </c>
      <c r="AB3">
        <v>112</v>
      </c>
      <c r="AC3">
        <v>13.5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10.39</v>
      </c>
      <c r="AV3">
        <v>0</v>
      </c>
    </row>
    <row r="4" spans="1:48" ht="12.75">
      <c r="A4">
        <f>ROW(Source!A28)</f>
        <v>28</v>
      </c>
      <c r="B4">
        <v>7345547</v>
      </c>
      <c r="C4">
        <v>7299315</v>
      </c>
      <c r="D4">
        <v>5495050</v>
      </c>
      <c r="E4">
        <v>1</v>
      </c>
      <c r="F4">
        <v>1</v>
      </c>
      <c r="G4">
        <v>1</v>
      </c>
      <c r="H4">
        <v>2</v>
      </c>
      <c r="I4" t="s">
        <v>293</v>
      </c>
      <c r="J4" t="s">
        <v>294</v>
      </c>
      <c r="K4" t="s">
        <v>295</v>
      </c>
      <c r="L4">
        <v>1368</v>
      </c>
      <c r="N4">
        <v>1011</v>
      </c>
      <c r="O4" t="s">
        <v>292</v>
      </c>
      <c r="P4" t="s">
        <v>292</v>
      </c>
      <c r="Q4">
        <v>1</v>
      </c>
      <c r="Y4">
        <v>0.31</v>
      </c>
      <c r="AA4">
        <v>0</v>
      </c>
      <c r="AB4">
        <v>123</v>
      </c>
      <c r="AC4">
        <v>13.5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0.31</v>
      </c>
      <c r="AV4">
        <v>0</v>
      </c>
    </row>
    <row r="5" spans="1:48" ht="12.75">
      <c r="A5">
        <f>ROW(Source!A28)</f>
        <v>28</v>
      </c>
      <c r="B5">
        <v>7345548</v>
      </c>
      <c r="C5">
        <v>7299315</v>
      </c>
      <c r="D5">
        <v>5495148</v>
      </c>
      <c r="E5">
        <v>1</v>
      </c>
      <c r="F5">
        <v>1</v>
      </c>
      <c r="G5">
        <v>1</v>
      </c>
      <c r="H5">
        <v>2</v>
      </c>
      <c r="I5" t="s">
        <v>296</v>
      </c>
      <c r="J5" t="s">
        <v>297</v>
      </c>
      <c r="K5" t="s">
        <v>298</v>
      </c>
      <c r="L5">
        <v>1368</v>
      </c>
      <c r="N5">
        <v>1011</v>
      </c>
      <c r="O5" t="s">
        <v>292</v>
      </c>
      <c r="P5" t="s">
        <v>292</v>
      </c>
      <c r="Q5">
        <v>1</v>
      </c>
      <c r="Y5">
        <v>0.4</v>
      </c>
      <c r="AA5">
        <v>0</v>
      </c>
      <c r="AB5">
        <v>110</v>
      </c>
      <c r="AC5">
        <v>11.6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0.4</v>
      </c>
      <c r="AV5">
        <v>0</v>
      </c>
    </row>
    <row r="6" spans="1:48" ht="12.75">
      <c r="A6">
        <f>ROW(Source!A28)</f>
        <v>28</v>
      </c>
      <c r="B6">
        <v>7345549</v>
      </c>
      <c r="C6">
        <v>7299315</v>
      </c>
      <c r="D6">
        <v>5496870</v>
      </c>
      <c r="E6">
        <v>1</v>
      </c>
      <c r="F6">
        <v>1</v>
      </c>
      <c r="G6">
        <v>1</v>
      </c>
      <c r="H6">
        <v>2</v>
      </c>
      <c r="I6" t="s">
        <v>299</v>
      </c>
      <c r="J6" t="s">
        <v>300</v>
      </c>
      <c r="K6" t="s">
        <v>301</v>
      </c>
      <c r="L6">
        <v>1368</v>
      </c>
      <c r="N6">
        <v>1011</v>
      </c>
      <c r="O6" t="s">
        <v>292</v>
      </c>
      <c r="P6" t="s">
        <v>292</v>
      </c>
      <c r="Q6">
        <v>1</v>
      </c>
      <c r="Y6">
        <v>5.26</v>
      </c>
      <c r="AA6">
        <v>0</v>
      </c>
      <c r="AB6">
        <v>75.4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5.26</v>
      </c>
      <c r="AV6">
        <v>0</v>
      </c>
    </row>
    <row r="7" spans="1:48" ht="12.75">
      <c r="A7">
        <f>ROW(Source!A29)</f>
        <v>29</v>
      </c>
      <c r="B7">
        <v>7345550</v>
      </c>
      <c r="C7">
        <v>7299322</v>
      </c>
      <c r="D7">
        <v>5517677</v>
      </c>
      <c r="E7">
        <v>1</v>
      </c>
      <c r="F7">
        <v>1</v>
      </c>
      <c r="G7">
        <v>1</v>
      </c>
      <c r="H7">
        <v>1</v>
      </c>
      <c r="I7" t="s">
        <v>302</v>
      </c>
      <c r="K7" t="s">
        <v>303</v>
      </c>
      <c r="L7">
        <v>1369</v>
      </c>
      <c r="N7">
        <v>1013</v>
      </c>
      <c r="O7" t="s">
        <v>286</v>
      </c>
      <c r="P7" t="s">
        <v>286</v>
      </c>
      <c r="Q7">
        <v>1</v>
      </c>
      <c r="Y7">
        <v>68.26</v>
      </c>
      <c r="AA7">
        <v>0</v>
      </c>
      <c r="AB7">
        <v>0</v>
      </c>
      <c r="AC7">
        <v>0</v>
      </c>
      <c r="AD7">
        <v>8.64</v>
      </c>
      <c r="AN7">
        <v>0</v>
      </c>
      <c r="AO7">
        <v>1</v>
      </c>
      <c r="AP7">
        <v>0</v>
      </c>
      <c r="AQ7">
        <v>0</v>
      </c>
      <c r="AR7">
        <v>0</v>
      </c>
      <c r="AT7">
        <v>68.26</v>
      </c>
      <c r="AV7">
        <v>1</v>
      </c>
    </row>
    <row r="8" spans="1:48" ht="12.75">
      <c r="A8">
        <f>ROW(Source!A29)</f>
        <v>29</v>
      </c>
      <c r="B8">
        <v>7345551</v>
      </c>
      <c r="C8">
        <v>7299322</v>
      </c>
      <c r="D8">
        <v>121548</v>
      </c>
      <c r="E8">
        <v>1</v>
      </c>
      <c r="F8">
        <v>1</v>
      </c>
      <c r="G8">
        <v>1</v>
      </c>
      <c r="H8">
        <v>1</v>
      </c>
      <c r="I8" t="s">
        <v>26</v>
      </c>
      <c r="K8" t="s">
        <v>287</v>
      </c>
      <c r="L8">
        <v>608254</v>
      </c>
      <c r="N8">
        <v>1013</v>
      </c>
      <c r="O8" t="s">
        <v>288</v>
      </c>
      <c r="P8" t="s">
        <v>288</v>
      </c>
      <c r="Q8">
        <v>1</v>
      </c>
      <c r="Y8">
        <v>9.4</v>
      </c>
      <c r="AA8">
        <v>0</v>
      </c>
      <c r="AB8">
        <v>0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9.4</v>
      </c>
      <c r="AV8">
        <v>2</v>
      </c>
    </row>
    <row r="9" spans="1:48" ht="12.75">
      <c r="A9">
        <f>ROW(Source!A29)</f>
        <v>29</v>
      </c>
      <c r="B9">
        <v>7345552</v>
      </c>
      <c r="C9">
        <v>7299322</v>
      </c>
      <c r="D9">
        <v>5494334</v>
      </c>
      <c r="E9">
        <v>1</v>
      </c>
      <c r="F9">
        <v>1</v>
      </c>
      <c r="G9">
        <v>1</v>
      </c>
      <c r="H9">
        <v>2</v>
      </c>
      <c r="I9" t="s">
        <v>304</v>
      </c>
      <c r="J9" t="s">
        <v>305</v>
      </c>
      <c r="K9" t="s">
        <v>306</v>
      </c>
      <c r="L9">
        <v>1368</v>
      </c>
      <c r="N9">
        <v>1011</v>
      </c>
      <c r="O9" t="s">
        <v>292</v>
      </c>
      <c r="P9" t="s">
        <v>292</v>
      </c>
      <c r="Q9">
        <v>1</v>
      </c>
      <c r="Y9">
        <v>9.4</v>
      </c>
      <c r="AA9">
        <v>0</v>
      </c>
      <c r="AB9">
        <v>100</v>
      </c>
      <c r="AC9">
        <v>10.06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9.4</v>
      </c>
      <c r="AV9">
        <v>0</v>
      </c>
    </row>
    <row r="10" spans="1:48" ht="12.75">
      <c r="A10">
        <f>ROW(Source!A29)</f>
        <v>29</v>
      </c>
      <c r="B10">
        <v>7345553</v>
      </c>
      <c r="C10">
        <v>7299322</v>
      </c>
      <c r="D10">
        <v>5496443</v>
      </c>
      <c r="E10">
        <v>1</v>
      </c>
      <c r="F10">
        <v>1</v>
      </c>
      <c r="G10">
        <v>1</v>
      </c>
      <c r="H10">
        <v>2</v>
      </c>
      <c r="I10" t="s">
        <v>307</v>
      </c>
      <c r="J10" t="s">
        <v>308</v>
      </c>
      <c r="K10" t="s">
        <v>309</v>
      </c>
      <c r="L10">
        <v>1368</v>
      </c>
      <c r="N10">
        <v>1011</v>
      </c>
      <c r="O10" t="s">
        <v>292</v>
      </c>
      <c r="P10" t="s">
        <v>292</v>
      </c>
      <c r="Q10">
        <v>1</v>
      </c>
      <c r="Y10">
        <v>28.2</v>
      </c>
      <c r="AA10">
        <v>0</v>
      </c>
      <c r="AB10">
        <v>16.7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28.2</v>
      </c>
      <c r="AV10">
        <v>0</v>
      </c>
    </row>
    <row r="11" spans="1:48" ht="12.75">
      <c r="A11">
        <f>ROW(Source!A30)</f>
        <v>30</v>
      </c>
      <c r="B11">
        <v>7345554</v>
      </c>
      <c r="C11">
        <v>7299327</v>
      </c>
      <c r="D11">
        <v>5514222</v>
      </c>
      <c r="E11">
        <v>1</v>
      </c>
      <c r="F11">
        <v>1</v>
      </c>
      <c r="G11">
        <v>1</v>
      </c>
      <c r="H11">
        <v>1</v>
      </c>
      <c r="I11" t="s">
        <v>310</v>
      </c>
      <c r="K11" t="s">
        <v>311</v>
      </c>
      <c r="L11">
        <v>1369</v>
      </c>
      <c r="N11">
        <v>1013</v>
      </c>
      <c r="O11" t="s">
        <v>286</v>
      </c>
      <c r="P11" t="s">
        <v>286</v>
      </c>
      <c r="Q11">
        <v>1</v>
      </c>
      <c r="Y11">
        <v>192</v>
      </c>
      <c r="AA11">
        <v>0</v>
      </c>
      <c r="AB11">
        <v>0</v>
      </c>
      <c r="AC11">
        <v>0</v>
      </c>
      <c r="AD11">
        <v>7.8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192</v>
      </c>
      <c r="AV11">
        <v>1</v>
      </c>
    </row>
    <row r="12" spans="1:48" ht="12.75">
      <c r="A12">
        <f>ROW(Source!A31)</f>
        <v>31</v>
      </c>
      <c r="B12">
        <v>7345555</v>
      </c>
      <c r="C12">
        <v>7299329</v>
      </c>
      <c r="D12">
        <v>5518064</v>
      </c>
      <c r="E12">
        <v>1</v>
      </c>
      <c r="F12">
        <v>1</v>
      </c>
      <c r="G12">
        <v>1</v>
      </c>
      <c r="H12">
        <v>1</v>
      </c>
      <c r="I12" t="s">
        <v>312</v>
      </c>
      <c r="K12" t="s">
        <v>313</v>
      </c>
      <c r="L12">
        <v>1369</v>
      </c>
      <c r="N12">
        <v>1013</v>
      </c>
      <c r="O12" t="s">
        <v>286</v>
      </c>
      <c r="P12" t="s">
        <v>286</v>
      </c>
      <c r="Q12">
        <v>1</v>
      </c>
      <c r="Y12">
        <v>51.23</v>
      </c>
      <c r="AA12">
        <v>0</v>
      </c>
      <c r="AB12">
        <v>0</v>
      </c>
      <c r="AC12">
        <v>0</v>
      </c>
      <c r="AD12">
        <v>8.38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51.23</v>
      </c>
      <c r="AV12">
        <v>1</v>
      </c>
    </row>
    <row r="13" spans="1:48" ht="12.75">
      <c r="A13">
        <f>ROW(Source!A31)</f>
        <v>31</v>
      </c>
      <c r="B13">
        <v>7345556</v>
      </c>
      <c r="C13">
        <v>7299329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26</v>
      </c>
      <c r="K13" t="s">
        <v>287</v>
      </c>
      <c r="L13">
        <v>608254</v>
      </c>
      <c r="N13">
        <v>1013</v>
      </c>
      <c r="O13" t="s">
        <v>288</v>
      </c>
      <c r="P13" t="s">
        <v>288</v>
      </c>
      <c r="Q13">
        <v>1</v>
      </c>
      <c r="Y13">
        <v>11.13</v>
      </c>
      <c r="AA13">
        <v>0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11.13</v>
      </c>
      <c r="AV13">
        <v>2</v>
      </c>
    </row>
    <row r="14" spans="1:48" ht="12.75">
      <c r="A14">
        <f>ROW(Source!A31)</f>
        <v>31</v>
      </c>
      <c r="B14">
        <v>7345557</v>
      </c>
      <c r="C14">
        <v>7299329</v>
      </c>
      <c r="D14">
        <v>5493882</v>
      </c>
      <c r="E14">
        <v>1</v>
      </c>
      <c r="F14">
        <v>1</v>
      </c>
      <c r="G14">
        <v>1</v>
      </c>
      <c r="H14">
        <v>2</v>
      </c>
      <c r="I14" t="s">
        <v>289</v>
      </c>
      <c r="J14" t="s">
        <v>290</v>
      </c>
      <c r="K14" t="s">
        <v>291</v>
      </c>
      <c r="L14">
        <v>1368</v>
      </c>
      <c r="N14">
        <v>1011</v>
      </c>
      <c r="O14" t="s">
        <v>292</v>
      </c>
      <c r="P14" t="s">
        <v>292</v>
      </c>
      <c r="Q14">
        <v>1</v>
      </c>
      <c r="Y14">
        <v>10.39</v>
      </c>
      <c r="AA14">
        <v>0</v>
      </c>
      <c r="AB14">
        <v>112</v>
      </c>
      <c r="AC14">
        <v>13.5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10.39</v>
      </c>
      <c r="AV14">
        <v>0</v>
      </c>
    </row>
    <row r="15" spans="1:48" ht="12.75">
      <c r="A15">
        <f>ROW(Source!A31)</f>
        <v>31</v>
      </c>
      <c r="B15">
        <v>7345558</v>
      </c>
      <c r="C15">
        <v>7299329</v>
      </c>
      <c r="D15">
        <v>5494044</v>
      </c>
      <c r="E15">
        <v>1</v>
      </c>
      <c r="F15">
        <v>1</v>
      </c>
      <c r="G15">
        <v>1</v>
      </c>
      <c r="H15">
        <v>2</v>
      </c>
      <c r="I15" t="s">
        <v>314</v>
      </c>
      <c r="J15" t="s">
        <v>315</v>
      </c>
      <c r="K15" t="s">
        <v>316</v>
      </c>
      <c r="L15">
        <v>1368</v>
      </c>
      <c r="N15">
        <v>1011</v>
      </c>
      <c r="O15" t="s">
        <v>292</v>
      </c>
      <c r="P15" t="s">
        <v>292</v>
      </c>
      <c r="Q15">
        <v>1</v>
      </c>
      <c r="Y15">
        <v>0.08</v>
      </c>
      <c r="AA15">
        <v>0</v>
      </c>
      <c r="AB15">
        <v>90</v>
      </c>
      <c r="AC15">
        <v>10.06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0.08</v>
      </c>
      <c r="AV15">
        <v>0</v>
      </c>
    </row>
    <row r="16" spans="1:48" ht="12.75">
      <c r="A16">
        <f>ROW(Source!A31)</f>
        <v>31</v>
      </c>
      <c r="B16">
        <v>7345559</v>
      </c>
      <c r="C16">
        <v>7299329</v>
      </c>
      <c r="D16">
        <v>5495050</v>
      </c>
      <c r="E16">
        <v>1</v>
      </c>
      <c r="F16">
        <v>1</v>
      </c>
      <c r="G16">
        <v>1</v>
      </c>
      <c r="H16">
        <v>2</v>
      </c>
      <c r="I16" t="s">
        <v>293</v>
      </c>
      <c r="J16" t="s">
        <v>294</v>
      </c>
      <c r="K16" t="s">
        <v>295</v>
      </c>
      <c r="L16">
        <v>1368</v>
      </c>
      <c r="N16">
        <v>1011</v>
      </c>
      <c r="O16" t="s">
        <v>292</v>
      </c>
      <c r="P16" t="s">
        <v>292</v>
      </c>
      <c r="Q16">
        <v>1</v>
      </c>
      <c r="Y16">
        <v>0.66</v>
      </c>
      <c r="AA16">
        <v>0</v>
      </c>
      <c r="AB16">
        <v>123</v>
      </c>
      <c r="AC16">
        <v>13.5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0.66</v>
      </c>
      <c r="AV16">
        <v>0</v>
      </c>
    </row>
    <row r="17" spans="1:48" ht="12.75">
      <c r="A17">
        <f>ROW(Source!A31)</f>
        <v>31</v>
      </c>
      <c r="B17">
        <v>7345560</v>
      </c>
      <c r="C17">
        <v>7299329</v>
      </c>
      <c r="D17">
        <v>5469594</v>
      </c>
      <c r="E17">
        <v>1</v>
      </c>
      <c r="F17">
        <v>1</v>
      </c>
      <c r="G17">
        <v>1</v>
      </c>
      <c r="H17">
        <v>3</v>
      </c>
      <c r="I17" t="s">
        <v>317</v>
      </c>
      <c r="J17" t="s">
        <v>318</v>
      </c>
      <c r="K17" t="s">
        <v>319</v>
      </c>
      <c r="L17">
        <v>1339</v>
      </c>
      <c r="N17">
        <v>1007</v>
      </c>
      <c r="O17" t="s">
        <v>320</v>
      </c>
      <c r="P17" t="s">
        <v>320</v>
      </c>
      <c r="Q17">
        <v>1</v>
      </c>
      <c r="Y17">
        <v>1.18</v>
      </c>
      <c r="AA17">
        <v>55.26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1.18</v>
      </c>
      <c r="AV17">
        <v>0</v>
      </c>
    </row>
    <row r="18" spans="1:48" ht="12.75">
      <c r="A18">
        <f>ROW(Source!A31)</f>
        <v>31</v>
      </c>
      <c r="B18">
        <v>7345561</v>
      </c>
      <c r="C18">
        <v>7299329</v>
      </c>
      <c r="D18">
        <v>5473853</v>
      </c>
      <c r="E18">
        <v>1</v>
      </c>
      <c r="F18">
        <v>1</v>
      </c>
      <c r="G18">
        <v>1</v>
      </c>
      <c r="H18">
        <v>3</v>
      </c>
      <c r="I18" t="s">
        <v>321</v>
      </c>
      <c r="J18" t="s">
        <v>322</v>
      </c>
      <c r="K18" t="s">
        <v>323</v>
      </c>
      <c r="L18">
        <v>1339</v>
      </c>
      <c r="N18">
        <v>1007</v>
      </c>
      <c r="O18" t="s">
        <v>320</v>
      </c>
      <c r="P18" t="s">
        <v>320</v>
      </c>
      <c r="Q18">
        <v>1</v>
      </c>
      <c r="Y18">
        <v>100</v>
      </c>
      <c r="AA18">
        <v>964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100</v>
      </c>
      <c r="AV18">
        <v>0</v>
      </c>
    </row>
    <row r="19" spans="1:48" ht="12.75">
      <c r="A19">
        <f>ROW(Source!A32)</f>
        <v>32</v>
      </c>
      <c r="B19">
        <v>7345562</v>
      </c>
      <c r="C19">
        <v>7299337</v>
      </c>
      <c r="D19">
        <v>5514222</v>
      </c>
      <c r="E19">
        <v>1</v>
      </c>
      <c r="F19">
        <v>1</v>
      </c>
      <c r="G19">
        <v>1</v>
      </c>
      <c r="H19">
        <v>1</v>
      </c>
      <c r="I19" t="s">
        <v>310</v>
      </c>
      <c r="K19" t="s">
        <v>311</v>
      </c>
      <c r="L19">
        <v>1369</v>
      </c>
      <c r="N19">
        <v>1013</v>
      </c>
      <c r="O19" t="s">
        <v>286</v>
      </c>
      <c r="P19" t="s">
        <v>286</v>
      </c>
      <c r="Q19">
        <v>1</v>
      </c>
      <c r="Y19">
        <v>11.41</v>
      </c>
      <c r="AA19">
        <v>0</v>
      </c>
      <c r="AB19">
        <v>0</v>
      </c>
      <c r="AC19">
        <v>0</v>
      </c>
      <c r="AD19">
        <v>7.8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11.41</v>
      </c>
      <c r="AV19">
        <v>1</v>
      </c>
    </row>
    <row r="20" spans="1:48" ht="12.75">
      <c r="A20">
        <f>ROW(Source!A32)</f>
        <v>32</v>
      </c>
      <c r="B20">
        <v>7345563</v>
      </c>
      <c r="C20">
        <v>7299337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26</v>
      </c>
      <c r="K20" t="s">
        <v>287</v>
      </c>
      <c r="L20">
        <v>608254</v>
      </c>
      <c r="N20">
        <v>1013</v>
      </c>
      <c r="O20" t="s">
        <v>288</v>
      </c>
      <c r="P20" t="s">
        <v>288</v>
      </c>
      <c r="Q20">
        <v>1</v>
      </c>
      <c r="Y20">
        <v>33.09</v>
      </c>
      <c r="AA20">
        <v>0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33.09</v>
      </c>
      <c r="AV20">
        <v>2</v>
      </c>
    </row>
    <row r="21" spans="1:48" ht="12.75">
      <c r="A21">
        <f>ROW(Source!A32)</f>
        <v>32</v>
      </c>
      <c r="B21">
        <v>7345564</v>
      </c>
      <c r="C21">
        <v>7299337</v>
      </c>
      <c r="D21">
        <v>5494425</v>
      </c>
      <c r="E21">
        <v>1</v>
      </c>
      <c r="F21">
        <v>1</v>
      </c>
      <c r="G21">
        <v>1</v>
      </c>
      <c r="H21">
        <v>2</v>
      </c>
      <c r="I21" t="s">
        <v>324</v>
      </c>
      <c r="J21" t="s">
        <v>325</v>
      </c>
      <c r="K21" t="s">
        <v>326</v>
      </c>
      <c r="L21">
        <v>1368</v>
      </c>
      <c r="N21">
        <v>1011</v>
      </c>
      <c r="O21" t="s">
        <v>292</v>
      </c>
      <c r="P21" t="s">
        <v>292</v>
      </c>
      <c r="Q21">
        <v>1</v>
      </c>
      <c r="Y21">
        <v>25.25</v>
      </c>
      <c r="AA21">
        <v>0</v>
      </c>
      <c r="AB21">
        <v>125.7</v>
      </c>
      <c r="AC21">
        <v>13.5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25.25</v>
      </c>
      <c r="AV21">
        <v>0</v>
      </c>
    </row>
    <row r="22" spans="1:48" ht="12.75">
      <c r="A22">
        <f>ROW(Source!A32)</f>
        <v>32</v>
      </c>
      <c r="B22">
        <v>7345565</v>
      </c>
      <c r="C22">
        <v>7299337</v>
      </c>
      <c r="D22">
        <v>5494542</v>
      </c>
      <c r="E22">
        <v>1</v>
      </c>
      <c r="F22">
        <v>1</v>
      </c>
      <c r="G22">
        <v>1</v>
      </c>
      <c r="H22">
        <v>2</v>
      </c>
      <c r="I22" t="s">
        <v>327</v>
      </c>
      <c r="J22" t="s">
        <v>328</v>
      </c>
      <c r="K22" t="s">
        <v>329</v>
      </c>
      <c r="L22">
        <v>1368</v>
      </c>
      <c r="N22">
        <v>1011</v>
      </c>
      <c r="O22" t="s">
        <v>292</v>
      </c>
      <c r="P22" t="s">
        <v>292</v>
      </c>
      <c r="Q22">
        <v>1</v>
      </c>
      <c r="Y22">
        <v>7.84</v>
      </c>
      <c r="AA22">
        <v>0</v>
      </c>
      <c r="AB22">
        <v>80</v>
      </c>
      <c r="AC22">
        <v>14.4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7.84</v>
      </c>
      <c r="AV22">
        <v>0</v>
      </c>
    </row>
    <row r="23" spans="1:48" ht="12.75">
      <c r="A23">
        <f>ROW(Source!A32)</f>
        <v>32</v>
      </c>
      <c r="B23">
        <v>7345566</v>
      </c>
      <c r="C23">
        <v>7299337</v>
      </c>
      <c r="D23">
        <v>5469984</v>
      </c>
      <c r="E23">
        <v>1</v>
      </c>
      <c r="F23">
        <v>1</v>
      </c>
      <c r="G23">
        <v>1</v>
      </c>
      <c r="H23">
        <v>3</v>
      </c>
      <c r="I23" t="s">
        <v>330</v>
      </c>
      <c r="J23" t="s">
        <v>331</v>
      </c>
      <c r="K23" t="s">
        <v>332</v>
      </c>
      <c r="L23">
        <v>1339</v>
      </c>
      <c r="N23">
        <v>1007</v>
      </c>
      <c r="O23" t="s">
        <v>320</v>
      </c>
      <c r="P23" t="s">
        <v>320</v>
      </c>
      <c r="Q23">
        <v>1</v>
      </c>
      <c r="Y23">
        <v>0.04</v>
      </c>
      <c r="AA23">
        <v>108.4</v>
      </c>
      <c r="AB23">
        <v>0</v>
      </c>
      <c r="AC23">
        <v>0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0.04</v>
      </c>
      <c r="AV23">
        <v>0</v>
      </c>
    </row>
    <row r="24" spans="1:48" ht="12.75">
      <c r="A24">
        <f>ROW(Source!A65)</f>
        <v>65</v>
      </c>
      <c r="B24">
        <v>7345567</v>
      </c>
      <c r="C24">
        <v>7305459</v>
      </c>
      <c r="D24">
        <v>5514222</v>
      </c>
      <c r="E24">
        <v>1</v>
      </c>
      <c r="F24">
        <v>1</v>
      </c>
      <c r="G24">
        <v>1</v>
      </c>
      <c r="H24">
        <v>1</v>
      </c>
      <c r="I24" t="s">
        <v>310</v>
      </c>
      <c r="K24" t="s">
        <v>311</v>
      </c>
      <c r="L24">
        <v>1369</v>
      </c>
      <c r="N24">
        <v>1013</v>
      </c>
      <c r="O24" t="s">
        <v>286</v>
      </c>
      <c r="P24" t="s">
        <v>286</v>
      </c>
      <c r="Q24">
        <v>1</v>
      </c>
      <c r="Y24">
        <v>0.9</v>
      </c>
      <c r="AA24">
        <v>0</v>
      </c>
      <c r="AB24">
        <v>0</v>
      </c>
      <c r="AC24">
        <v>0</v>
      </c>
      <c r="AD24">
        <v>7.8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0.9</v>
      </c>
      <c r="AV24">
        <v>1</v>
      </c>
    </row>
    <row r="25" spans="1:48" ht="12.75">
      <c r="A25">
        <f>ROW(Source!A65)</f>
        <v>65</v>
      </c>
      <c r="B25">
        <v>7345568</v>
      </c>
      <c r="C25">
        <v>7305459</v>
      </c>
      <c r="D25">
        <v>121548</v>
      </c>
      <c r="E25">
        <v>1</v>
      </c>
      <c r="F25">
        <v>1</v>
      </c>
      <c r="G25">
        <v>1</v>
      </c>
      <c r="H25">
        <v>1</v>
      </c>
      <c r="I25" t="s">
        <v>26</v>
      </c>
      <c r="K25" t="s">
        <v>287</v>
      </c>
      <c r="L25">
        <v>608254</v>
      </c>
      <c r="N25">
        <v>1013</v>
      </c>
      <c r="O25" t="s">
        <v>288</v>
      </c>
      <c r="P25" t="s">
        <v>288</v>
      </c>
      <c r="Q25">
        <v>1</v>
      </c>
      <c r="Y25">
        <v>0.21</v>
      </c>
      <c r="AA25">
        <v>0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0.21</v>
      </c>
      <c r="AV25">
        <v>2</v>
      </c>
    </row>
    <row r="26" spans="1:48" ht="12.75">
      <c r="A26">
        <f>ROW(Source!A65)</f>
        <v>65</v>
      </c>
      <c r="B26">
        <v>7345569</v>
      </c>
      <c r="C26">
        <v>7305459</v>
      </c>
      <c r="D26">
        <v>5494334</v>
      </c>
      <c r="E26">
        <v>1</v>
      </c>
      <c r="F26">
        <v>1</v>
      </c>
      <c r="G26">
        <v>1</v>
      </c>
      <c r="H26">
        <v>2</v>
      </c>
      <c r="I26" t="s">
        <v>304</v>
      </c>
      <c r="J26" t="s">
        <v>305</v>
      </c>
      <c r="K26" t="s">
        <v>306</v>
      </c>
      <c r="L26">
        <v>1368</v>
      </c>
      <c r="N26">
        <v>1011</v>
      </c>
      <c r="O26" t="s">
        <v>292</v>
      </c>
      <c r="P26" t="s">
        <v>292</v>
      </c>
      <c r="Q26">
        <v>1</v>
      </c>
      <c r="Y26">
        <v>0.21</v>
      </c>
      <c r="AA26">
        <v>0</v>
      </c>
      <c r="AB26">
        <v>100</v>
      </c>
      <c r="AC26">
        <v>10.06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0.21</v>
      </c>
      <c r="AV26">
        <v>0</v>
      </c>
    </row>
    <row r="27" spans="1:48" ht="12.75">
      <c r="A27">
        <f>ROW(Source!A65)</f>
        <v>65</v>
      </c>
      <c r="B27">
        <v>7345570</v>
      </c>
      <c r="C27">
        <v>7305459</v>
      </c>
      <c r="D27">
        <v>5496473</v>
      </c>
      <c r="E27">
        <v>1</v>
      </c>
      <c r="F27">
        <v>1</v>
      </c>
      <c r="G27">
        <v>1</v>
      </c>
      <c r="H27">
        <v>2</v>
      </c>
      <c r="I27" t="s">
        <v>333</v>
      </c>
      <c r="J27" t="s">
        <v>308</v>
      </c>
      <c r="K27" t="s">
        <v>334</v>
      </c>
      <c r="L27">
        <v>1368</v>
      </c>
      <c r="N27">
        <v>1011</v>
      </c>
      <c r="O27" t="s">
        <v>292</v>
      </c>
      <c r="P27" t="s">
        <v>292</v>
      </c>
      <c r="Q27">
        <v>1</v>
      </c>
      <c r="Y27">
        <v>0.42</v>
      </c>
      <c r="AA27">
        <v>0</v>
      </c>
      <c r="AB27">
        <v>4.91</v>
      </c>
      <c r="AC27">
        <v>0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0.42</v>
      </c>
      <c r="AV27">
        <v>0</v>
      </c>
    </row>
    <row r="28" spans="1:48" ht="12.75">
      <c r="A28">
        <f>ROW(Source!A65)</f>
        <v>65</v>
      </c>
      <c r="B28">
        <v>7345571</v>
      </c>
      <c r="C28">
        <v>7305459</v>
      </c>
      <c r="D28">
        <v>5469612</v>
      </c>
      <c r="E28">
        <v>1</v>
      </c>
      <c r="F28">
        <v>1</v>
      </c>
      <c r="G28">
        <v>1</v>
      </c>
      <c r="H28">
        <v>3</v>
      </c>
      <c r="I28" t="s">
        <v>335</v>
      </c>
      <c r="J28" t="s">
        <v>336</v>
      </c>
      <c r="K28" t="s">
        <v>337</v>
      </c>
      <c r="L28">
        <v>1339</v>
      </c>
      <c r="N28">
        <v>1007</v>
      </c>
      <c r="O28" t="s">
        <v>320</v>
      </c>
      <c r="P28" t="s">
        <v>320</v>
      </c>
      <c r="Q28">
        <v>1</v>
      </c>
      <c r="Y28">
        <v>1.1</v>
      </c>
      <c r="AA28">
        <v>59.99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1.1</v>
      </c>
      <c r="AV28">
        <v>0</v>
      </c>
    </row>
    <row r="29" spans="1:48" ht="12.75">
      <c r="A29">
        <f>ROW(Source!A65)</f>
        <v>65</v>
      </c>
      <c r="B29">
        <v>7345572</v>
      </c>
      <c r="C29">
        <v>7305459</v>
      </c>
      <c r="D29">
        <v>5470416</v>
      </c>
      <c r="E29">
        <v>1</v>
      </c>
      <c r="F29">
        <v>1</v>
      </c>
      <c r="G29">
        <v>1</v>
      </c>
      <c r="H29">
        <v>3</v>
      </c>
      <c r="I29" t="s">
        <v>338</v>
      </c>
      <c r="J29" t="s">
        <v>339</v>
      </c>
      <c r="K29" t="s">
        <v>340</v>
      </c>
      <c r="L29">
        <v>1339</v>
      </c>
      <c r="N29">
        <v>1007</v>
      </c>
      <c r="O29" t="s">
        <v>320</v>
      </c>
      <c r="P29" t="s">
        <v>320</v>
      </c>
      <c r="Q29">
        <v>1</v>
      </c>
      <c r="Y29">
        <v>0.25</v>
      </c>
      <c r="AA29">
        <v>2.44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0.25</v>
      </c>
      <c r="AV29">
        <v>0</v>
      </c>
    </row>
    <row r="30" spans="1:48" ht="12.75">
      <c r="A30">
        <f>ROW(Source!A66)</f>
        <v>66</v>
      </c>
      <c r="B30">
        <v>7345573</v>
      </c>
      <c r="C30">
        <v>7299351</v>
      </c>
      <c r="D30">
        <v>5518064</v>
      </c>
      <c r="E30">
        <v>1</v>
      </c>
      <c r="F30">
        <v>1</v>
      </c>
      <c r="G30">
        <v>1</v>
      </c>
      <c r="H30">
        <v>1</v>
      </c>
      <c r="I30" t="s">
        <v>312</v>
      </c>
      <c r="K30" t="s">
        <v>313</v>
      </c>
      <c r="L30">
        <v>1369</v>
      </c>
      <c r="N30">
        <v>1013</v>
      </c>
      <c r="O30" t="s">
        <v>286</v>
      </c>
      <c r="P30" t="s">
        <v>286</v>
      </c>
      <c r="Q30">
        <v>1</v>
      </c>
      <c r="Y30">
        <v>51.23</v>
      </c>
      <c r="AA30">
        <v>0</v>
      </c>
      <c r="AB30">
        <v>0</v>
      </c>
      <c r="AC30">
        <v>0</v>
      </c>
      <c r="AD30">
        <v>8.38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51.23</v>
      </c>
      <c r="AV30">
        <v>1</v>
      </c>
    </row>
    <row r="31" spans="1:48" ht="12.75">
      <c r="A31">
        <f>ROW(Source!A66)</f>
        <v>66</v>
      </c>
      <c r="B31">
        <v>7345574</v>
      </c>
      <c r="C31">
        <v>7299351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26</v>
      </c>
      <c r="K31" t="s">
        <v>287</v>
      </c>
      <c r="L31">
        <v>608254</v>
      </c>
      <c r="N31">
        <v>1013</v>
      </c>
      <c r="O31" t="s">
        <v>288</v>
      </c>
      <c r="P31" t="s">
        <v>288</v>
      </c>
      <c r="Q31">
        <v>1</v>
      </c>
      <c r="Y31">
        <v>11.13</v>
      </c>
      <c r="AA31">
        <v>0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11.13</v>
      </c>
      <c r="AV31">
        <v>2</v>
      </c>
    </row>
    <row r="32" spans="1:48" ht="12.75">
      <c r="A32">
        <f>ROW(Source!A66)</f>
        <v>66</v>
      </c>
      <c r="B32">
        <v>7345575</v>
      </c>
      <c r="C32">
        <v>7299351</v>
      </c>
      <c r="D32">
        <v>5493882</v>
      </c>
      <c r="E32">
        <v>1</v>
      </c>
      <c r="F32">
        <v>1</v>
      </c>
      <c r="G32">
        <v>1</v>
      </c>
      <c r="H32">
        <v>2</v>
      </c>
      <c r="I32" t="s">
        <v>289</v>
      </c>
      <c r="J32" t="s">
        <v>290</v>
      </c>
      <c r="K32" t="s">
        <v>291</v>
      </c>
      <c r="L32">
        <v>1368</v>
      </c>
      <c r="N32">
        <v>1011</v>
      </c>
      <c r="O32" t="s">
        <v>292</v>
      </c>
      <c r="P32" t="s">
        <v>292</v>
      </c>
      <c r="Q32">
        <v>1</v>
      </c>
      <c r="Y32">
        <v>10.39</v>
      </c>
      <c r="AA32">
        <v>0</v>
      </c>
      <c r="AB32">
        <v>112</v>
      </c>
      <c r="AC32">
        <v>13.5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10.39</v>
      </c>
      <c r="AV32">
        <v>0</v>
      </c>
    </row>
    <row r="33" spans="1:48" ht="12.75">
      <c r="A33">
        <f>ROW(Source!A66)</f>
        <v>66</v>
      </c>
      <c r="B33">
        <v>7345576</v>
      </c>
      <c r="C33">
        <v>7299351</v>
      </c>
      <c r="D33">
        <v>5494044</v>
      </c>
      <c r="E33">
        <v>1</v>
      </c>
      <c r="F33">
        <v>1</v>
      </c>
      <c r="G33">
        <v>1</v>
      </c>
      <c r="H33">
        <v>2</v>
      </c>
      <c r="I33" t="s">
        <v>314</v>
      </c>
      <c r="J33" t="s">
        <v>315</v>
      </c>
      <c r="K33" t="s">
        <v>316</v>
      </c>
      <c r="L33">
        <v>1368</v>
      </c>
      <c r="N33">
        <v>1011</v>
      </c>
      <c r="O33" t="s">
        <v>292</v>
      </c>
      <c r="P33" t="s">
        <v>292</v>
      </c>
      <c r="Q33">
        <v>1</v>
      </c>
      <c r="Y33">
        <v>0.08</v>
      </c>
      <c r="AA33">
        <v>0</v>
      </c>
      <c r="AB33">
        <v>90</v>
      </c>
      <c r="AC33">
        <v>10.06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0.08</v>
      </c>
      <c r="AV33">
        <v>0</v>
      </c>
    </row>
    <row r="34" spans="1:48" ht="12.75">
      <c r="A34">
        <f>ROW(Source!A66)</f>
        <v>66</v>
      </c>
      <c r="B34">
        <v>7345577</v>
      </c>
      <c r="C34">
        <v>7299351</v>
      </c>
      <c r="D34">
        <v>5495050</v>
      </c>
      <c r="E34">
        <v>1</v>
      </c>
      <c r="F34">
        <v>1</v>
      </c>
      <c r="G34">
        <v>1</v>
      </c>
      <c r="H34">
        <v>2</v>
      </c>
      <c r="I34" t="s">
        <v>293</v>
      </c>
      <c r="J34" t="s">
        <v>294</v>
      </c>
      <c r="K34" t="s">
        <v>295</v>
      </c>
      <c r="L34">
        <v>1368</v>
      </c>
      <c r="N34">
        <v>1011</v>
      </c>
      <c r="O34" t="s">
        <v>292</v>
      </c>
      <c r="P34" t="s">
        <v>292</v>
      </c>
      <c r="Q34">
        <v>1</v>
      </c>
      <c r="Y34">
        <v>0.66</v>
      </c>
      <c r="AA34">
        <v>0</v>
      </c>
      <c r="AB34">
        <v>123</v>
      </c>
      <c r="AC34">
        <v>13.5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0.66</v>
      </c>
      <c r="AV34">
        <v>0</v>
      </c>
    </row>
    <row r="35" spans="1:48" ht="12.75">
      <c r="A35">
        <f>ROW(Source!A66)</f>
        <v>66</v>
      </c>
      <c r="B35">
        <v>7345578</v>
      </c>
      <c r="C35">
        <v>7299351</v>
      </c>
      <c r="D35">
        <v>5469594</v>
      </c>
      <c r="E35">
        <v>1</v>
      </c>
      <c r="F35">
        <v>1</v>
      </c>
      <c r="G35">
        <v>1</v>
      </c>
      <c r="H35">
        <v>3</v>
      </c>
      <c r="I35" t="s">
        <v>317</v>
      </c>
      <c r="J35" t="s">
        <v>318</v>
      </c>
      <c r="K35" t="s">
        <v>319</v>
      </c>
      <c r="L35">
        <v>1339</v>
      </c>
      <c r="N35">
        <v>1007</v>
      </c>
      <c r="O35" t="s">
        <v>320</v>
      </c>
      <c r="P35" t="s">
        <v>320</v>
      </c>
      <c r="Q35">
        <v>1</v>
      </c>
      <c r="Y35">
        <v>1.18</v>
      </c>
      <c r="AA35">
        <v>55.26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1.18</v>
      </c>
      <c r="AV35">
        <v>0</v>
      </c>
    </row>
    <row r="36" spans="1:48" ht="12.75">
      <c r="A36">
        <f>ROW(Source!A66)</f>
        <v>66</v>
      </c>
      <c r="B36">
        <v>7345579</v>
      </c>
      <c r="C36">
        <v>7299351</v>
      </c>
      <c r="D36">
        <v>5473853</v>
      </c>
      <c r="E36">
        <v>1</v>
      </c>
      <c r="F36">
        <v>1</v>
      </c>
      <c r="G36">
        <v>1</v>
      </c>
      <c r="H36">
        <v>3</v>
      </c>
      <c r="I36" t="s">
        <v>321</v>
      </c>
      <c r="J36" t="s">
        <v>322</v>
      </c>
      <c r="K36" t="s">
        <v>323</v>
      </c>
      <c r="L36">
        <v>1339</v>
      </c>
      <c r="N36">
        <v>1007</v>
      </c>
      <c r="O36" t="s">
        <v>320</v>
      </c>
      <c r="P36" t="s">
        <v>320</v>
      </c>
      <c r="Q36">
        <v>1</v>
      </c>
      <c r="Y36">
        <v>100</v>
      </c>
      <c r="AA36">
        <v>964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100</v>
      </c>
      <c r="AV36">
        <v>0</v>
      </c>
    </row>
    <row r="37" spans="1:48" ht="12.75">
      <c r="A37">
        <f>ROW(Source!A98)</f>
        <v>98</v>
      </c>
      <c r="B37">
        <v>7345580</v>
      </c>
      <c r="C37">
        <v>7299683</v>
      </c>
      <c r="D37">
        <v>5518641</v>
      </c>
      <c r="E37">
        <v>1</v>
      </c>
      <c r="F37">
        <v>1</v>
      </c>
      <c r="G37">
        <v>1</v>
      </c>
      <c r="H37">
        <v>1</v>
      </c>
      <c r="I37" t="s">
        <v>341</v>
      </c>
      <c r="K37" t="s">
        <v>342</v>
      </c>
      <c r="L37">
        <v>1369</v>
      </c>
      <c r="N37">
        <v>1013</v>
      </c>
      <c r="O37" t="s">
        <v>286</v>
      </c>
      <c r="P37" t="s">
        <v>286</v>
      </c>
      <c r="Q37">
        <v>1</v>
      </c>
      <c r="Y37">
        <v>16.36</v>
      </c>
      <c r="AA37">
        <v>0</v>
      </c>
      <c r="AB37">
        <v>0</v>
      </c>
      <c r="AC37">
        <v>0</v>
      </c>
      <c r="AD37">
        <v>8.45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16.36</v>
      </c>
      <c r="AV37">
        <v>1</v>
      </c>
    </row>
    <row r="38" spans="1:48" ht="12.75">
      <c r="A38">
        <f>ROW(Source!A98)</f>
        <v>98</v>
      </c>
      <c r="B38">
        <v>7345581</v>
      </c>
      <c r="C38">
        <v>7299683</v>
      </c>
      <c r="D38">
        <v>121548</v>
      </c>
      <c r="E38">
        <v>1</v>
      </c>
      <c r="F38">
        <v>1</v>
      </c>
      <c r="G38">
        <v>1</v>
      </c>
      <c r="H38">
        <v>1</v>
      </c>
      <c r="I38" t="s">
        <v>26</v>
      </c>
      <c r="K38" t="s">
        <v>287</v>
      </c>
      <c r="L38">
        <v>608254</v>
      </c>
      <c r="N38">
        <v>1013</v>
      </c>
      <c r="O38" t="s">
        <v>288</v>
      </c>
      <c r="P38" t="s">
        <v>288</v>
      </c>
      <c r="Q38">
        <v>1</v>
      </c>
      <c r="Y38">
        <v>11.67</v>
      </c>
      <c r="AA38">
        <v>0</v>
      </c>
      <c r="AB38">
        <v>0</v>
      </c>
      <c r="AC38">
        <v>0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11.67</v>
      </c>
      <c r="AV38">
        <v>2</v>
      </c>
    </row>
    <row r="39" spans="1:48" ht="12.75">
      <c r="A39">
        <f>ROW(Source!A98)</f>
        <v>98</v>
      </c>
      <c r="B39">
        <v>7345582</v>
      </c>
      <c r="C39">
        <v>7299683</v>
      </c>
      <c r="D39">
        <v>5493882</v>
      </c>
      <c r="E39">
        <v>1</v>
      </c>
      <c r="F39">
        <v>1</v>
      </c>
      <c r="G39">
        <v>1</v>
      </c>
      <c r="H39">
        <v>2</v>
      </c>
      <c r="I39" t="s">
        <v>289</v>
      </c>
      <c r="J39" t="s">
        <v>290</v>
      </c>
      <c r="K39" t="s">
        <v>291</v>
      </c>
      <c r="L39">
        <v>1368</v>
      </c>
      <c r="N39">
        <v>1011</v>
      </c>
      <c r="O39" t="s">
        <v>292</v>
      </c>
      <c r="P39" t="s">
        <v>292</v>
      </c>
      <c r="Q39">
        <v>1</v>
      </c>
      <c r="Y39">
        <v>0.22</v>
      </c>
      <c r="AA39">
        <v>0</v>
      </c>
      <c r="AB39">
        <v>112</v>
      </c>
      <c r="AC39">
        <v>13.5</v>
      </c>
      <c r="AD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0.22</v>
      </c>
      <c r="AV39">
        <v>0</v>
      </c>
    </row>
    <row r="40" spans="1:48" ht="12.75">
      <c r="A40">
        <f>ROW(Source!A98)</f>
        <v>98</v>
      </c>
      <c r="B40">
        <v>7345583</v>
      </c>
      <c r="C40">
        <v>7299683</v>
      </c>
      <c r="D40">
        <v>5494060</v>
      </c>
      <c r="E40">
        <v>1</v>
      </c>
      <c r="F40">
        <v>1</v>
      </c>
      <c r="G40">
        <v>1</v>
      </c>
      <c r="H40">
        <v>2</v>
      </c>
      <c r="I40" t="s">
        <v>343</v>
      </c>
      <c r="J40" t="s">
        <v>344</v>
      </c>
      <c r="K40" t="s">
        <v>345</v>
      </c>
      <c r="L40">
        <v>1368</v>
      </c>
      <c r="N40">
        <v>1011</v>
      </c>
      <c r="O40" t="s">
        <v>292</v>
      </c>
      <c r="P40" t="s">
        <v>292</v>
      </c>
      <c r="Q40">
        <v>1</v>
      </c>
      <c r="Y40">
        <v>1.69</v>
      </c>
      <c r="AA40">
        <v>0</v>
      </c>
      <c r="AB40">
        <v>1</v>
      </c>
      <c r="AC40">
        <v>0</v>
      </c>
      <c r="AD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1.69</v>
      </c>
      <c r="AV40">
        <v>0</v>
      </c>
    </row>
    <row r="41" spans="1:48" ht="12.75">
      <c r="A41">
        <f>ROW(Source!A98)</f>
        <v>98</v>
      </c>
      <c r="B41">
        <v>7345584</v>
      </c>
      <c r="C41">
        <v>7299683</v>
      </c>
      <c r="D41">
        <v>5494186</v>
      </c>
      <c r="E41">
        <v>1</v>
      </c>
      <c r="F41">
        <v>1</v>
      </c>
      <c r="G41">
        <v>1</v>
      </c>
      <c r="H41">
        <v>2</v>
      </c>
      <c r="I41" t="s">
        <v>346</v>
      </c>
      <c r="J41" t="s">
        <v>347</v>
      </c>
      <c r="K41" t="s">
        <v>348</v>
      </c>
      <c r="L41">
        <v>1368</v>
      </c>
      <c r="N41">
        <v>1011</v>
      </c>
      <c r="O41" t="s">
        <v>292</v>
      </c>
      <c r="P41" t="s">
        <v>292</v>
      </c>
      <c r="Q41">
        <v>1</v>
      </c>
      <c r="Y41">
        <v>4.54</v>
      </c>
      <c r="AA41">
        <v>0</v>
      </c>
      <c r="AB41">
        <v>85</v>
      </c>
      <c r="AC41">
        <v>11.6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4.54</v>
      </c>
      <c r="AV41">
        <v>0</v>
      </c>
    </row>
    <row r="42" spans="1:48" ht="12.75">
      <c r="A42">
        <f>ROW(Source!A98)</f>
        <v>98</v>
      </c>
      <c r="B42">
        <v>7345585</v>
      </c>
      <c r="C42">
        <v>7299683</v>
      </c>
      <c r="D42">
        <v>5494445</v>
      </c>
      <c r="E42">
        <v>1</v>
      </c>
      <c r="F42">
        <v>1</v>
      </c>
      <c r="G42">
        <v>1</v>
      </c>
      <c r="H42">
        <v>2</v>
      </c>
      <c r="I42" t="s">
        <v>349</v>
      </c>
      <c r="J42" t="s">
        <v>350</v>
      </c>
      <c r="K42" t="s">
        <v>351</v>
      </c>
      <c r="L42">
        <v>1368</v>
      </c>
      <c r="N42">
        <v>1011</v>
      </c>
      <c r="O42" t="s">
        <v>292</v>
      </c>
      <c r="P42" t="s">
        <v>292</v>
      </c>
      <c r="Q42">
        <v>1</v>
      </c>
      <c r="Y42">
        <v>0.76</v>
      </c>
      <c r="AA42">
        <v>0</v>
      </c>
      <c r="AB42">
        <v>70</v>
      </c>
      <c r="AC42">
        <v>11.6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0.76</v>
      </c>
      <c r="AV42">
        <v>0</v>
      </c>
    </row>
    <row r="43" spans="1:48" ht="12.75">
      <c r="A43">
        <f>ROW(Source!A98)</f>
        <v>98</v>
      </c>
      <c r="B43">
        <v>7345586</v>
      </c>
      <c r="C43">
        <v>7299683</v>
      </c>
      <c r="D43">
        <v>5494541</v>
      </c>
      <c r="E43">
        <v>1</v>
      </c>
      <c r="F43">
        <v>1</v>
      </c>
      <c r="G43">
        <v>1</v>
      </c>
      <c r="H43">
        <v>2</v>
      </c>
      <c r="I43" t="s">
        <v>352</v>
      </c>
      <c r="J43" t="s">
        <v>353</v>
      </c>
      <c r="K43" t="s">
        <v>354</v>
      </c>
      <c r="L43">
        <v>1368</v>
      </c>
      <c r="N43">
        <v>1011</v>
      </c>
      <c r="O43" t="s">
        <v>292</v>
      </c>
      <c r="P43" t="s">
        <v>292</v>
      </c>
      <c r="Q43">
        <v>1</v>
      </c>
      <c r="Y43">
        <v>4.35</v>
      </c>
      <c r="AA43">
        <v>0</v>
      </c>
      <c r="AB43">
        <v>61.3</v>
      </c>
      <c r="AC43">
        <v>13.5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4.35</v>
      </c>
      <c r="AV43">
        <v>0</v>
      </c>
    </row>
    <row r="44" spans="1:48" ht="12.75">
      <c r="A44">
        <f>ROW(Source!A98)</f>
        <v>98</v>
      </c>
      <c r="B44">
        <v>7345587</v>
      </c>
      <c r="C44">
        <v>7299683</v>
      </c>
      <c r="D44">
        <v>5495089</v>
      </c>
      <c r="E44">
        <v>1</v>
      </c>
      <c r="F44">
        <v>1</v>
      </c>
      <c r="G44">
        <v>1</v>
      </c>
      <c r="H44">
        <v>2</v>
      </c>
      <c r="I44" t="s">
        <v>355</v>
      </c>
      <c r="J44" t="s">
        <v>356</v>
      </c>
      <c r="K44" t="s">
        <v>357</v>
      </c>
      <c r="L44">
        <v>1368</v>
      </c>
      <c r="N44">
        <v>1011</v>
      </c>
      <c r="O44" t="s">
        <v>292</v>
      </c>
      <c r="P44" t="s">
        <v>292</v>
      </c>
      <c r="Q44">
        <v>1</v>
      </c>
      <c r="Y44">
        <v>0.72</v>
      </c>
      <c r="AA44">
        <v>0</v>
      </c>
      <c r="AB44">
        <v>121</v>
      </c>
      <c r="AC44">
        <v>14.4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0.72</v>
      </c>
      <c r="AV44">
        <v>0</v>
      </c>
    </row>
    <row r="45" spans="1:48" ht="12.75">
      <c r="A45">
        <f>ROW(Source!A98)</f>
        <v>98</v>
      </c>
      <c r="B45">
        <v>7345588</v>
      </c>
      <c r="C45">
        <v>7299683</v>
      </c>
      <c r="D45">
        <v>5495148</v>
      </c>
      <c r="E45">
        <v>1</v>
      </c>
      <c r="F45">
        <v>1</v>
      </c>
      <c r="G45">
        <v>1</v>
      </c>
      <c r="H45">
        <v>2</v>
      </c>
      <c r="I45" t="s">
        <v>296</v>
      </c>
      <c r="J45" t="s">
        <v>297</v>
      </c>
      <c r="K45" t="s">
        <v>298</v>
      </c>
      <c r="L45">
        <v>1368</v>
      </c>
      <c r="N45">
        <v>1011</v>
      </c>
      <c r="O45" t="s">
        <v>292</v>
      </c>
      <c r="P45" t="s">
        <v>292</v>
      </c>
      <c r="Q45">
        <v>1</v>
      </c>
      <c r="Y45">
        <v>0.23</v>
      </c>
      <c r="AA45">
        <v>0</v>
      </c>
      <c r="AB45">
        <v>110</v>
      </c>
      <c r="AC45">
        <v>11.6</v>
      </c>
      <c r="AD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0.23</v>
      </c>
      <c r="AV45">
        <v>0</v>
      </c>
    </row>
    <row r="46" spans="1:48" ht="12.75">
      <c r="A46">
        <f>ROW(Source!A98)</f>
        <v>98</v>
      </c>
      <c r="B46">
        <v>7345589</v>
      </c>
      <c r="C46">
        <v>7299683</v>
      </c>
      <c r="D46">
        <v>5495288</v>
      </c>
      <c r="E46">
        <v>1</v>
      </c>
      <c r="F46">
        <v>1</v>
      </c>
      <c r="G46">
        <v>1</v>
      </c>
      <c r="H46">
        <v>2</v>
      </c>
      <c r="I46" t="s">
        <v>358</v>
      </c>
      <c r="J46" t="s">
        <v>359</v>
      </c>
      <c r="K46" t="s">
        <v>360</v>
      </c>
      <c r="L46">
        <v>1368</v>
      </c>
      <c r="N46">
        <v>1011</v>
      </c>
      <c r="O46" t="s">
        <v>292</v>
      </c>
      <c r="P46" t="s">
        <v>292</v>
      </c>
      <c r="Q46">
        <v>1</v>
      </c>
      <c r="Y46">
        <v>2.5</v>
      </c>
      <c r="AA46">
        <v>0</v>
      </c>
      <c r="AB46">
        <v>1.5</v>
      </c>
      <c r="AC46">
        <v>0</v>
      </c>
      <c r="AD46">
        <v>0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2.5</v>
      </c>
      <c r="AV46">
        <v>0</v>
      </c>
    </row>
    <row r="47" spans="1:48" ht="12.75">
      <c r="A47">
        <f>ROW(Source!A98)</f>
        <v>98</v>
      </c>
      <c r="B47">
        <v>7345590</v>
      </c>
      <c r="C47">
        <v>7299683</v>
      </c>
      <c r="D47">
        <v>5495497</v>
      </c>
      <c r="E47">
        <v>1</v>
      </c>
      <c r="F47">
        <v>1</v>
      </c>
      <c r="G47">
        <v>1</v>
      </c>
      <c r="H47">
        <v>2</v>
      </c>
      <c r="I47" t="s">
        <v>361</v>
      </c>
      <c r="J47" t="s">
        <v>362</v>
      </c>
      <c r="K47" t="s">
        <v>363</v>
      </c>
      <c r="L47">
        <v>1368</v>
      </c>
      <c r="N47">
        <v>1011</v>
      </c>
      <c r="O47" t="s">
        <v>292</v>
      </c>
      <c r="P47" t="s">
        <v>292</v>
      </c>
      <c r="Q47">
        <v>1</v>
      </c>
      <c r="Y47">
        <v>0.6</v>
      </c>
      <c r="AA47">
        <v>0</v>
      </c>
      <c r="AB47">
        <v>157.9</v>
      </c>
      <c r="AC47">
        <v>14.4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0.6</v>
      </c>
      <c r="AV47">
        <v>0</v>
      </c>
    </row>
    <row r="48" spans="1:48" ht="12.75">
      <c r="A48">
        <f>ROW(Source!A98)</f>
        <v>98</v>
      </c>
      <c r="B48">
        <v>7345591</v>
      </c>
      <c r="C48">
        <v>7299683</v>
      </c>
      <c r="D48">
        <v>5496633</v>
      </c>
      <c r="E48">
        <v>1</v>
      </c>
      <c r="F48">
        <v>1</v>
      </c>
      <c r="G48">
        <v>1</v>
      </c>
      <c r="H48">
        <v>2</v>
      </c>
      <c r="I48" t="s">
        <v>364</v>
      </c>
      <c r="J48" t="s">
        <v>359</v>
      </c>
      <c r="K48" t="s">
        <v>365</v>
      </c>
      <c r="L48">
        <v>1368</v>
      </c>
      <c r="N48">
        <v>1011</v>
      </c>
      <c r="O48" t="s">
        <v>292</v>
      </c>
      <c r="P48" t="s">
        <v>292</v>
      </c>
      <c r="Q48">
        <v>1</v>
      </c>
      <c r="Y48">
        <v>0.5</v>
      </c>
      <c r="AA48">
        <v>0</v>
      </c>
      <c r="AB48">
        <v>1.05</v>
      </c>
      <c r="AC48">
        <v>0</v>
      </c>
      <c r="AD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0.5</v>
      </c>
      <c r="AV48">
        <v>0</v>
      </c>
    </row>
    <row r="49" spans="1:48" ht="12.75">
      <c r="A49">
        <f>ROW(Source!A98)</f>
        <v>98</v>
      </c>
      <c r="B49">
        <v>7345592</v>
      </c>
      <c r="C49">
        <v>7299683</v>
      </c>
      <c r="D49">
        <v>5496872</v>
      </c>
      <c r="E49">
        <v>1</v>
      </c>
      <c r="F49">
        <v>1</v>
      </c>
      <c r="G49">
        <v>1</v>
      </c>
      <c r="H49">
        <v>2</v>
      </c>
      <c r="I49" t="s">
        <v>366</v>
      </c>
      <c r="J49" t="s">
        <v>367</v>
      </c>
      <c r="K49" t="s">
        <v>368</v>
      </c>
      <c r="L49">
        <v>1368</v>
      </c>
      <c r="N49">
        <v>1011</v>
      </c>
      <c r="O49" t="s">
        <v>292</v>
      </c>
      <c r="P49" t="s">
        <v>292</v>
      </c>
      <c r="Q49">
        <v>1</v>
      </c>
      <c r="Y49">
        <v>0.03</v>
      </c>
      <c r="AA49">
        <v>0</v>
      </c>
      <c r="AB49">
        <v>95.53</v>
      </c>
      <c r="AC49">
        <v>0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0.03</v>
      </c>
      <c r="AV49">
        <v>0</v>
      </c>
    </row>
    <row r="50" spans="1:48" ht="12.75">
      <c r="A50">
        <f>ROW(Source!A98)</f>
        <v>98</v>
      </c>
      <c r="B50">
        <v>7345593</v>
      </c>
      <c r="C50">
        <v>7299683</v>
      </c>
      <c r="D50">
        <v>5496889</v>
      </c>
      <c r="E50">
        <v>1</v>
      </c>
      <c r="F50">
        <v>1</v>
      </c>
      <c r="G50">
        <v>1</v>
      </c>
      <c r="H50">
        <v>2</v>
      </c>
      <c r="I50" t="s">
        <v>369</v>
      </c>
      <c r="J50" t="s">
        <v>370</v>
      </c>
      <c r="K50" t="s">
        <v>371</v>
      </c>
      <c r="L50">
        <v>1368</v>
      </c>
      <c r="N50">
        <v>1011</v>
      </c>
      <c r="O50" t="s">
        <v>292</v>
      </c>
      <c r="P50" t="s">
        <v>292</v>
      </c>
      <c r="Q50">
        <v>1</v>
      </c>
      <c r="Y50">
        <v>0.22</v>
      </c>
      <c r="AA50">
        <v>0</v>
      </c>
      <c r="AB50">
        <v>99.4</v>
      </c>
      <c r="AC50">
        <v>0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0.22</v>
      </c>
      <c r="AV50">
        <v>0</v>
      </c>
    </row>
    <row r="51" spans="1:48" ht="12.75">
      <c r="A51">
        <f>ROW(Source!A98)</f>
        <v>98</v>
      </c>
      <c r="B51">
        <v>7345594</v>
      </c>
      <c r="C51">
        <v>7299683</v>
      </c>
      <c r="D51">
        <v>5496892</v>
      </c>
      <c r="E51">
        <v>1</v>
      </c>
      <c r="F51">
        <v>1</v>
      </c>
      <c r="G51">
        <v>1</v>
      </c>
      <c r="H51">
        <v>2</v>
      </c>
      <c r="I51" t="s">
        <v>372</v>
      </c>
      <c r="J51" t="s">
        <v>373</v>
      </c>
      <c r="K51" t="s">
        <v>374</v>
      </c>
      <c r="L51">
        <v>1368</v>
      </c>
      <c r="N51">
        <v>1011</v>
      </c>
      <c r="O51" t="s">
        <v>292</v>
      </c>
      <c r="P51" t="s">
        <v>292</v>
      </c>
      <c r="Q51">
        <v>1</v>
      </c>
      <c r="Y51">
        <v>0.22</v>
      </c>
      <c r="AA51">
        <v>0</v>
      </c>
      <c r="AB51">
        <v>12</v>
      </c>
      <c r="AC51">
        <v>0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0.22</v>
      </c>
      <c r="AV51">
        <v>0</v>
      </c>
    </row>
    <row r="52" spans="1:48" ht="12.75">
      <c r="A52">
        <f>ROW(Source!A98)</f>
        <v>98</v>
      </c>
      <c r="B52">
        <v>7345595</v>
      </c>
      <c r="C52">
        <v>7299683</v>
      </c>
      <c r="D52">
        <v>5447569</v>
      </c>
      <c r="E52">
        <v>1</v>
      </c>
      <c r="F52">
        <v>1</v>
      </c>
      <c r="G52">
        <v>1</v>
      </c>
      <c r="H52">
        <v>3</v>
      </c>
      <c r="I52" t="s">
        <v>375</v>
      </c>
      <c r="J52" t="s">
        <v>376</v>
      </c>
      <c r="K52" t="s">
        <v>377</v>
      </c>
      <c r="L52">
        <v>1348</v>
      </c>
      <c r="N52">
        <v>1009</v>
      </c>
      <c r="O52" t="s">
        <v>57</v>
      </c>
      <c r="P52" t="s">
        <v>57</v>
      </c>
      <c r="Q52">
        <v>1000</v>
      </c>
      <c r="Y52">
        <v>0.0103</v>
      </c>
      <c r="AA52">
        <v>11490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0.0103</v>
      </c>
      <c r="AV52">
        <v>0</v>
      </c>
    </row>
    <row r="53" spans="1:48" ht="12.75">
      <c r="A53">
        <f>ROW(Source!A98)</f>
        <v>98</v>
      </c>
      <c r="B53">
        <v>7345596</v>
      </c>
      <c r="C53">
        <v>7299683</v>
      </c>
      <c r="D53">
        <v>5447606</v>
      </c>
      <c r="E53">
        <v>1</v>
      </c>
      <c r="F53">
        <v>1</v>
      </c>
      <c r="G53">
        <v>1</v>
      </c>
      <c r="H53">
        <v>3</v>
      </c>
      <c r="I53" t="s">
        <v>378</v>
      </c>
      <c r="J53" t="s">
        <v>379</v>
      </c>
      <c r="K53" t="s">
        <v>380</v>
      </c>
      <c r="L53">
        <v>1348</v>
      </c>
      <c r="N53">
        <v>1009</v>
      </c>
      <c r="O53" t="s">
        <v>57</v>
      </c>
      <c r="P53" t="s">
        <v>57</v>
      </c>
      <c r="Q53">
        <v>1000</v>
      </c>
      <c r="Y53">
        <v>0.0007</v>
      </c>
      <c r="AA53">
        <v>11678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0.0007</v>
      </c>
      <c r="AV53">
        <v>0</v>
      </c>
    </row>
    <row r="54" spans="1:48" ht="12.75">
      <c r="A54">
        <f>ROW(Source!A98)</f>
        <v>98</v>
      </c>
      <c r="B54">
        <v>7345597</v>
      </c>
      <c r="C54">
        <v>7299683</v>
      </c>
      <c r="D54">
        <v>5447634</v>
      </c>
      <c r="E54">
        <v>1</v>
      </c>
      <c r="F54">
        <v>1</v>
      </c>
      <c r="G54">
        <v>1</v>
      </c>
      <c r="H54">
        <v>3</v>
      </c>
      <c r="I54" t="s">
        <v>381</v>
      </c>
      <c r="J54" t="s">
        <v>382</v>
      </c>
      <c r="K54" t="s">
        <v>383</v>
      </c>
      <c r="L54">
        <v>1348</v>
      </c>
      <c r="N54">
        <v>1009</v>
      </c>
      <c r="O54" t="s">
        <v>57</v>
      </c>
      <c r="P54" t="s">
        <v>57</v>
      </c>
      <c r="Q54">
        <v>1000</v>
      </c>
      <c r="Y54">
        <v>0.0752</v>
      </c>
      <c r="AA54">
        <v>4911.8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0.0752</v>
      </c>
      <c r="AV54">
        <v>0</v>
      </c>
    </row>
    <row r="55" spans="1:48" ht="12.75">
      <c r="A55">
        <f>ROW(Source!A98)</f>
        <v>98</v>
      </c>
      <c r="B55">
        <v>7345598</v>
      </c>
      <c r="C55">
        <v>7299683</v>
      </c>
      <c r="D55">
        <v>5447855</v>
      </c>
      <c r="E55">
        <v>1</v>
      </c>
      <c r="F55">
        <v>1</v>
      </c>
      <c r="G55">
        <v>1</v>
      </c>
      <c r="H55">
        <v>3</v>
      </c>
      <c r="I55" t="s">
        <v>384</v>
      </c>
      <c r="J55" t="s">
        <v>385</v>
      </c>
      <c r="K55" t="s">
        <v>386</v>
      </c>
      <c r="L55">
        <v>1504999</v>
      </c>
      <c r="N55">
        <v>1010</v>
      </c>
      <c r="O55" t="s">
        <v>387</v>
      </c>
      <c r="P55" t="s">
        <v>388</v>
      </c>
      <c r="Q55">
        <v>1</v>
      </c>
      <c r="Y55">
        <v>1</v>
      </c>
      <c r="AA55">
        <v>405.86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1</v>
      </c>
      <c r="AV55">
        <v>0</v>
      </c>
    </row>
    <row r="56" spans="1:48" ht="12.75">
      <c r="A56">
        <f>ROW(Source!A98)</f>
        <v>98</v>
      </c>
      <c r="B56">
        <v>7345599</v>
      </c>
      <c r="C56">
        <v>7299683</v>
      </c>
      <c r="D56">
        <v>5457396</v>
      </c>
      <c r="E56">
        <v>1</v>
      </c>
      <c r="F56">
        <v>1</v>
      </c>
      <c r="G56">
        <v>1</v>
      </c>
      <c r="H56">
        <v>3</v>
      </c>
      <c r="I56" t="s">
        <v>389</v>
      </c>
      <c r="J56" t="s">
        <v>390</v>
      </c>
      <c r="K56" t="s">
        <v>391</v>
      </c>
      <c r="L56">
        <v>1348</v>
      </c>
      <c r="N56">
        <v>1009</v>
      </c>
      <c r="O56" t="s">
        <v>57</v>
      </c>
      <c r="P56" t="s">
        <v>57</v>
      </c>
      <c r="Q56">
        <v>1000</v>
      </c>
      <c r="Y56">
        <v>0.2733</v>
      </c>
      <c r="AA56">
        <v>7980</v>
      </c>
      <c r="AB56">
        <v>0</v>
      </c>
      <c r="AC56">
        <v>0</v>
      </c>
      <c r="AD56">
        <v>0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0.2733</v>
      </c>
      <c r="AV56">
        <v>0</v>
      </c>
    </row>
    <row r="57" spans="1:48" ht="12.75">
      <c r="A57">
        <f>ROW(Source!A98)</f>
        <v>98</v>
      </c>
      <c r="B57">
        <v>7345600</v>
      </c>
      <c r="C57">
        <v>7299683</v>
      </c>
      <c r="D57">
        <v>5469594</v>
      </c>
      <c r="E57">
        <v>1</v>
      </c>
      <c r="F57">
        <v>1</v>
      </c>
      <c r="G57">
        <v>1</v>
      </c>
      <c r="H57">
        <v>3</v>
      </c>
      <c r="I57" t="s">
        <v>317</v>
      </c>
      <c r="J57" t="s">
        <v>318</v>
      </c>
      <c r="K57" t="s">
        <v>319</v>
      </c>
      <c r="L57">
        <v>1339</v>
      </c>
      <c r="N57">
        <v>1007</v>
      </c>
      <c r="O57" t="s">
        <v>320</v>
      </c>
      <c r="P57" t="s">
        <v>320</v>
      </c>
      <c r="Q57">
        <v>1</v>
      </c>
      <c r="Y57">
        <v>33.44</v>
      </c>
      <c r="AA57">
        <v>55.26</v>
      </c>
      <c r="AB57">
        <v>0</v>
      </c>
      <c r="AC57">
        <v>0</v>
      </c>
      <c r="AD57">
        <v>0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33.44</v>
      </c>
      <c r="AV57">
        <v>0</v>
      </c>
    </row>
    <row r="58" spans="1:48" ht="12.75">
      <c r="A58">
        <f>ROW(Source!A98)</f>
        <v>98</v>
      </c>
      <c r="B58">
        <v>7345601</v>
      </c>
      <c r="C58">
        <v>7299683</v>
      </c>
      <c r="D58">
        <v>5470416</v>
      </c>
      <c r="E58">
        <v>1</v>
      </c>
      <c r="F58">
        <v>1</v>
      </c>
      <c r="G58">
        <v>1</v>
      </c>
      <c r="H58">
        <v>3</v>
      </c>
      <c r="I58" t="s">
        <v>338</v>
      </c>
      <c r="J58" t="s">
        <v>339</v>
      </c>
      <c r="K58" t="s">
        <v>340</v>
      </c>
      <c r="L58">
        <v>1339</v>
      </c>
      <c r="N58">
        <v>1007</v>
      </c>
      <c r="O58" t="s">
        <v>320</v>
      </c>
      <c r="P58" t="s">
        <v>320</v>
      </c>
      <c r="Q58">
        <v>1</v>
      </c>
      <c r="Y58">
        <v>1.52</v>
      </c>
      <c r="AA58">
        <v>2.44</v>
      </c>
      <c r="AB58">
        <v>0</v>
      </c>
      <c r="AC58">
        <v>0</v>
      </c>
      <c r="AD58">
        <v>0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1.52</v>
      </c>
      <c r="AV58">
        <v>0</v>
      </c>
    </row>
    <row r="59" spans="1:48" ht="12.75">
      <c r="A59">
        <f>ROW(Source!A99)</f>
        <v>99</v>
      </c>
      <c r="B59">
        <v>7345602</v>
      </c>
      <c r="C59">
        <v>7345457</v>
      </c>
      <c r="D59">
        <v>5518255</v>
      </c>
      <c r="E59">
        <v>1</v>
      </c>
      <c r="F59">
        <v>1</v>
      </c>
      <c r="G59">
        <v>1</v>
      </c>
      <c r="H59">
        <v>1</v>
      </c>
      <c r="I59" t="s">
        <v>392</v>
      </c>
      <c r="K59" t="s">
        <v>393</v>
      </c>
      <c r="L59">
        <v>1369</v>
      </c>
      <c r="N59">
        <v>1013</v>
      </c>
      <c r="O59" t="s">
        <v>286</v>
      </c>
      <c r="P59" t="s">
        <v>286</v>
      </c>
      <c r="Q59">
        <v>1</v>
      </c>
      <c r="Y59">
        <v>9.86</v>
      </c>
      <c r="AA59">
        <v>0</v>
      </c>
      <c r="AB59">
        <v>0</v>
      </c>
      <c r="AC59">
        <v>0</v>
      </c>
      <c r="AD59">
        <v>9.3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9.86</v>
      </c>
      <c r="AV59">
        <v>1</v>
      </c>
    </row>
    <row r="60" spans="1:48" ht="12.75">
      <c r="A60">
        <f>ROW(Source!A99)</f>
        <v>99</v>
      </c>
      <c r="B60">
        <v>7345603</v>
      </c>
      <c r="C60">
        <v>7345457</v>
      </c>
      <c r="D60">
        <v>121548</v>
      </c>
      <c r="E60">
        <v>1</v>
      </c>
      <c r="F60">
        <v>1</v>
      </c>
      <c r="G60">
        <v>1</v>
      </c>
      <c r="H60">
        <v>1</v>
      </c>
      <c r="I60" t="s">
        <v>26</v>
      </c>
      <c r="K60" t="s">
        <v>287</v>
      </c>
      <c r="L60">
        <v>608254</v>
      </c>
      <c r="N60">
        <v>1013</v>
      </c>
      <c r="O60" t="s">
        <v>288</v>
      </c>
      <c r="P60" t="s">
        <v>288</v>
      </c>
      <c r="Q60">
        <v>1</v>
      </c>
      <c r="Y60">
        <v>0.1</v>
      </c>
      <c r="AA60">
        <v>0</v>
      </c>
      <c r="AB60">
        <v>0</v>
      </c>
      <c r="AC60">
        <v>0</v>
      </c>
      <c r="AD60">
        <v>0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0.1</v>
      </c>
      <c r="AV60">
        <v>2</v>
      </c>
    </row>
    <row r="61" spans="1:48" ht="12.75">
      <c r="A61">
        <f>ROW(Source!A99)</f>
        <v>99</v>
      </c>
      <c r="B61">
        <v>7345604</v>
      </c>
      <c r="C61">
        <v>7345457</v>
      </c>
      <c r="D61">
        <v>5493852</v>
      </c>
      <c r="E61">
        <v>1</v>
      </c>
      <c r="F61">
        <v>1</v>
      </c>
      <c r="G61">
        <v>1</v>
      </c>
      <c r="H61">
        <v>2</v>
      </c>
      <c r="I61" t="s">
        <v>394</v>
      </c>
      <c r="J61" t="s">
        <v>290</v>
      </c>
      <c r="K61" t="s">
        <v>395</v>
      </c>
      <c r="L61">
        <v>1368</v>
      </c>
      <c r="N61">
        <v>1011</v>
      </c>
      <c r="O61" t="s">
        <v>292</v>
      </c>
      <c r="P61" t="s">
        <v>292</v>
      </c>
      <c r="Q61">
        <v>1</v>
      </c>
      <c r="Y61">
        <v>0.05</v>
      </c>
      <c r="AA61">
        <v>0</v>
      </c>
      <c r="AB61">
        <v>134.65</v>
      </c>
      <c r="AC61">
        <v>13.5</v>
      </c>
      <c r="AD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0.05</v>
      </c>
      <c r="AV61">
        <v>0</v>
      </c>
    </row>
    <row r="62" spans="1:48" ht="12.75">
      <c r="A62">
        <f>ROW(Source!A99)</f>
        <v>99</v>
      </c>
      <c r="B62">
        <v>7345605</v>
      </c>
      <c r="C62">
        <v>7345457</v>
      </c>
      <c r="D62">
        <v>5494274</v>
      </c>
      <c r="E62">
        <v>1</v>
      </c>
      <c r="F62">
        <v>1</v>
      </c>
      <c r="G62">
        <v>1</v>
      </c>
      <c r="H62">
        <v>2</v>
      </c>
      <c r="I62" t="s">
        <v>396</v>
      </c>
      <c r="J62" t="s">
        <v>397</v>
      </c>
      <c r="K62" t="s">
        <v>398</v>
      </c>
      <c r="L62">
        <v>1368</v>
      </c>
      <c r="N62">
        <v>1011</v>
      </c>
      <c r="O62" t="s">
        <v>292</v>
      </c>
      <c r="P62" t="s">
        <v>292</v>
      </c>
      <c r="Q62">
        <v>1</v>
      </c>
      <c r="Y62">
        <v>1.26</v>
      </c>
      <c r="AA62">
        <v>0</v>
      </c>
      <c r="AB62">
        <v>8.1</v>
      </c>
      <c r="AC62">
        <v>0</v>
      </c>
      <c r="AD62">
        <v>0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1.26</v>
      </c>
      <c r="AV62">
        <v>0</v>
      </c>
    </row>
    <row r="63" spans="1:48" ht="12.75">
      <c r="A63">
        <f>ROW(Source!A99)</f>
        <v>99</v>
      </c>
      <c r="B63">
        <v>7345606</v>
      </c>
      <c r="C63">
        <v>7345457</v>
      </c>
      <c r="D63">
        <v>5496872</v>
      </c>
      <c r="E63">
        <v>1</v>
      </c>
      <c r="F63">
        <v>1</v>
      </c>
      <c r="G63">
        <v>1</v>
      </c>
      <c r="H63">
        <v>2</v>
      </c>
      <c r="I63" t="s">
        <v>366</v>
      </c>
      <c r="J63" t="s">
        <v>367</v>
      </c>
      <c r="K63" t="s">
        <v>368</v>
      </c>
      <c r="L63">
        <v>1368</v>
      </c>
      <c r="N63">
        <v>1011</v>
      </c>
      <c r="O63" t="s">
        <v>292</v>
      </c>
      <c r="P63" t="s">
        <v>292</v>
      </c>
      <c r="Q63">
        <v>1</v>
      </c>
      <c r="Y63">
        <v>0.05</v>
      </c>
      <c r="AA63">
        <v>0</v>
      </c>
      <c r="AB63">
        <v>95.53</v>
      </c>
      <c r="AC63">
        <v>0</v>
      </c>
      <c r="AD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0.05</v>
      </c>
      <c r="AV63">
        <v>0</v>
      </c>
    </row>
    <row r="64" spans="1:48" ht="12.75">
      <c r="A64">
        <f>ROW(Source!A99)</f>
        <v>99</v>
      </c>
      <c r="B64">
        <v>7345607</v>
      </c>
      <c r="C64">
        <v>7345457</v>
      </c>
      <c r="D64">
        <v>5443448</v>
      </c>
      <c r="E64">
        <v>1</v>
      </c>
      <c r="F64">
        <v>1</v>
      </c>
      <c r="G64">
        <v>1</v>
      </c>
      <c r="H64">
        <v>3</v>
      </c>
      <c r="I64" t="s">
        <v>399</v>
      </c>
      <c r="J64" t="s">
        <v>400</v>
      </c>
      <c r="K64" t="s">
        <v>401</v>
      </c>
      <c r="L64">
        <v>1346</v>
      </c>
      <c r="N64">
        <v>1009</v>
      </c>
      <c r="O64" t="s">
        <v>402</v>
      </c>
      <c r="P64" t="s">
        <v>402</v>
      </c>
      <c r="Q64">
        <v>1</v>
      </c>
      <c r="Y64">
        <v>0.28</v>
      </c>
      <c r="AA64">
        <v>14.3</v>
      </c>
      <c r="AB64">
        <v>0</v>
      </c>
      <c r="AC64">
        <v>0</v>
      </c>
      <c r="AD64">
        <v>0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0.28</v>
      </c>
      <c r="AV64">
        <v>0</v>
      </c>
    </row>
    <row r="65" spans="1:48" ht="12.75">
      <c r="A65">
        <f>ROW(Source!A99)</f>
        <v>99</v>
      </c>
      <c r="B65">
        <v>7345608</v>
      </c>
      <c r="C65">
        <v>7345457</v>
      </c>
      <c r="D65">
        <v>5443504</v>
      </c>
      <c r="E65">
        <v>1</v>
      </c>
      <c r="F65">
        <v>1</v>
      </c>
      <c r="G65">
        <v>1</v>
      </c>
      <c r="H65">
        <v>3</v>
      </c>
      <c r="I65" t="s">
        <v>403</v>
      </c>
      <c r="J65" t="s">
        <v>404</v>
      </c>
      <c r="K65" t="s">
        <v>405</v>
      </c>
      <c r="L65">
        <v>1346</v>
      </c>
      <c r="N65">
        <v>1009</v>
      </c>
      <c r="O65" t="s">
        <v>402</v>
      </c>
      <c r="P65" t="s">
        <v>402</v>
      </c>
      <c r="Q65">
        <v>1</v>
      </c>
      <c r="Y65">
        <v>1.1</v>
      </c>
      <c r="AA65">
        <v>9.04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1.1</v>
      </c>
      <c r="AV65">
        <v>0</v>
      </c>
    </row>
    <row r="66" spans="1:48" ht="12.75">
      <c r="A66">
        <f>ROW(Source!A99)</f>
        <v>99</v>
      </c>
      <c r="B66">
        <v>7345609</v>
      </c>
      <c r="C66">
        <v>7345457</v>
      </c>
      <c r="D66">
        <v>5443520</v>
      </c>
      <c r="E66">
        <v>1</v>
      </c>
      <c r="F66">
        <v>1</v>
      </c>
      <c r="G66">
        <v>1</v>
      </c>
      <c r="H66">
        <v>3</v>
      </c>
      <c r="I66" t="s">
        <v>406</v>
      </c>
      <c r="J66" t="s">
        <v>407</v>
      </c>
      <c r="K66" t="s">
        <v>408</v>
      </c>
      <c r="L66">
        <v>1346</v>
      </c>
      <c r="N66">
        <v>1009</v>
      </c>
      <c r="O66" t="s">
        <v>402</v>
      </c>
      <c r="P66" t="s">
        <v>402</v>
      </c>
      <c r="Q66">
        <v>1</v>
      </c>
      <c r="Y66">
        <v>0.344</v>
      </c>
      <c r="AA66">
        <v>68.87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0.344</v>
      </c>
      <c r="AV66">
        <v>0</v>
      </c>
    </row>
    <row r="67" spans="1:48" ht="12.75">
      <c r="A67">
        <f>ROW(Source!A99)</f>
        <v>99</v>
      </c>
      <c r="B67">
        <v>7345610</v>
      </c>
      <c r="C67">
        <v>7345457</v>
      </c>
      <c r="D67">
        <v>5457402</v>
      </c>
      <c r="E67">
        <v>1</v>
      </c>
      <c r="F67">
        <v>1</v>
      </c>
      <c r="G67">
        <v>1</v>
      </c>
      <c r="H67">
        <v>3</v>
      </c>
      <c r="I67" t="s">
        <v>130</v>
      </c>
      <c r="J67" t="s">
        <v>132</v>
      </c>
      <c r="K67" t="s">
        <v>131</v>
      </c>
      <c r="L67">
        <v>1348</v>
      </c>
      <c r="N67">
        <v>1009</v>
      </c>
      <c r="O67" t="s">
        <v>57</v>
      </c>
      <c r="P67" t="s">
        <v>57</v>
      </c>
      <c r="Q67">
        <v>1000</v>
      </c>
      <c r="Y67">
        <v>0</v>
      </c>
      <c r="AA67">
        <v>10508</v>
      </c>
      <c r="AB67">
        <v>0</v>
      </c>
      <c r="AC67">
        <v>0</v>
      </c>
      <c r="AD67">
        <v>0</v>
      </c>
      <c r="AN67">
        <v>1</v>
      </c>
      <c r="AO67">
        <v>0</v>
      </c>
      <c r="AP67">
        <v>0</v>
      </c>
      <c r="AQ67">
        <v>0</v>
      </c>
      <c r="AR67">
        <v>0</v>
      </c>
      <c r="AT67">
        <v>0</v>
      </c>
      <c r="AV67">
        <v>0</v>
      </c>
    </row>
    <row r="68" spans="1:48" ht="12.75">
      <c r="A68">
        <f>ROW(Source!A101)</f>
        <v>101</v>
      </c>
      <c r="B68">
        <v>7345612</v>
      </c>
      <c r="C68">
        <v>7345468</v>
      </c>
      <c r="D68">
        <v>5515322</v>
      </c>
      <c r="E68">
        <v>1</v>
      </c>
      <c r="F68">
        <v>1</v>
      </c>
      <c r="G68">
        <v>1</v>
      </c>
      <c r="H68">
        <v>1</v>
      </c>
      <c r="I68" t="s">
        <v>409</v>
      </c>
      <c r="K68" t="s">
        <v>410</v>
      </c>
      <c r="L68">
        <v>1369</v>
      </c>
      <c r="N68">
        <v>1013</v>
      </c>
      <c r="O68" t="s">
        <v>286</v>
      </c>
      <c r="P68" t="s">
        <v>286</v>
      </c>
      <c r="Q68">
        <v>1</v>
      </c>
      <c r="Y68">
        <v>11.91</v>
      </c>
      <c r="AA68">
        <v>0</v>
      </c>
      <c r="AB68">
        <v>0</v>
      </c>
      <c r="AC68">
        <v>0</v>
      </c>
      <c r="AD68">
        <v>8.16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11.91</v>
      </c>
      <c r="AV68">
        <v>1</v>
      </c>
    </row>
    <row r="69" spans="1:48" ht="12.75">
      <c r="A69">
        <f>ROW(Source!A101)</f>
        <v>101</v>
      </c>
      <c r="B69">
        <v>7345613</v>
      </c>
      <c r="C69">
        <v>7345468</v>
      </c>
      <c r="D69">
        <v>121548</v>
      </c>
      <c r="E69">
        <v>1</v>
      </c>
      <c r="F69">
        <v>1</v>
      </c>
      <c r="G69">
        <v>1</v>
      </c>
      <c r="H69">
        <v>1</v>
      </c>
      <c r="I69" t="s">
        <v>26</v>
      </c>
      <c r="K69" t="s">
        <v>287</v>
      </c>
      <c r="L69">
        <v>608254</v>
      </c>
      <c r="N69">
        <v>1013</v>
      </c>
      <c r="O69" t="s">
        <v>288</v>
      </c>
      <c r="P69" t="s">
        <v>288</v>
      </c>
      <c r="Q69">
        <v>1</v>
      </c>
      <c r="Y69">
        <v>0.28</v>
      </c>
      <c r="AA69">
        <v>0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0.28</v>
      </c>
      <c r="AV69">
        <v>2</v>
      </c>
    </row>
    <row r="70" spans="1:48" ht="12.75">
      <c r="A70">
        <f>ROW(Source!A101)</f>
        <v>101</v>
      </c>
      <c r="B70">
        <v>7345614</v>
      </c>
      <c r="C70">
        <v>7345468</v>
      </c>
      <c r="D70">
        <v>5493882</v>
      </c>
      <c r="E70">
        <v>1</v>
      </c>
      <c r="F70">
        <v>1</v>
      </c>
      <c r="G70">
        <v>1</v>
      </c>
      <c r="H70">
        <v>2</v>
      </c>
      <c r="I70" t="s">
        <v>289</v>
      </c>
      <c r="J70" t="s">
        <v>290</v>
      </c>
      <c r="K70" t="s">
        <v>291</v>
      </c>
      <c r="L70">
        <v>1368</v>
      </c>
      <c r="N70">
        <v>1011</v>
      </c>
      <c r="O70" t="s">
        <v>292</v>
      </c>
      <c r="P70" t="s">
        <v>292</v>
      </c>
      <c r="Q70">
        <v>1</v>
      </c>
      <c r="Y70">
        <v>0.02</v>
      </c>
      <c r="AA70">
        <v>0</v>
      </c>
      <c r="AB70">
        <v>112</v>
      </c>
      <c r="AC70">
        <v>13.5</v>
      </c>
      <c r="AD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0.02</v>
      </c>
      <c r="AV70">
        <v>0</v>
      </c>
    </row>
    <row r="71" spans="1:48" ht="12.75">
      <c r="A71">
        <f>ROW(Source!A101)</f>
        <v>101</v>
      </c>
      <c r="B71">
        <v>7345615</v>
      </c>
      <c r="C71">
        <v>7345468</v>
      </c>
      <c r="D71">
        <v>5496501</v>
      </c>
      <c r="E71">
        <v>1</v>
      </c>
      <c r="F71">
        <v>1</v>
      </c>
      <c r="G71">
        <v>1</v>
      </c>
      <c r="H71">
        <v>2</v>
      </c>
      <c r="I71" t="s">
        <v>411</v>
      </c>
      <c r="J71" t="s">
        <v>359</v>
      </c>
      <c r="K71" t="s">
        <v>412</v>
      </c>
      <c r="L71">
        <v>1368</v>
      </c>
      <c r="N71">
        <v>1011</v>
      </c>
      <c r="O71" t="s">
        <v>292</v>
      </c>
      <c r="P71" t="s">
        <v>292</v>
      </c>
      <c r="Q71">
        <v>1</v>
      </c>
      <c r="Y71">
        <v>0.4</v>
      </c>
      <c r="AA71">
        <v>0</v>
      </c>
      <c r="AB71">
        <v>0.95</v>
      </c>
      <c r="AC71">
        <v>0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0.4</v>
      </c>
      <c r="AV71">
        <v>0</v>
      </c>
    </row>
    <row r="72" spans="1:48" ht="12.75">
      <c r="A72">
        <f>ROW(Source!A101)</f>
        <v>101</v>
      </c>
      <c r="B72">
        <v>7345616</v>
      </c>
      <c r="C72">
        <v>7345468</v>
      </c>
      <c r="D72">
        <v>5496870</v>
      </c>
      <c r="E72">
        <v>1</v>
      </c>
      <c r="F72">
        <v>1</v>
      </c>
      <c r="G72">
        <v>1</v>
      </c>
      <c r="H72">
        <v>2</v>
      </c>
      <c r="I72" t="s">
        <v>299</v>
      </c>
      <c r="J72" t="s">
        <v>300</v>
      </c>
      <c r="K72" t="s">
        <v>301</v>
      </c>
      <c r="L72">
        <v>1368</v>
      </c>
      <c r="N72">
        <v>1011</v>
      </c>
      <c r="O72" t="s">
        <v>292</v>
      </c>
      <c r="P72" t="s">
        <v>292</v>
      </c>
      <c r="Q72">
        <v>1</v>
      </c>
      <c r="Y72">
        <v>0.26</v>
      </c>
      <c r="AA72">
        <v>0</v>
      </c>
      <c r="AB72">
        <v>75.4</v>
      </c>
      <c r="AC72">
        <v>0</v>
      </c>
      <c r="AD72">
        <v>0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0.26</v>
      </c>
      <c r="AV72">
        <v>0</v>
      </c>
    </row>
    <row r="73" spans="1:48" ht="12.75">
      <c r="A73">
        <f>ROW(Source!A101)</f>
        <v>101</v>
      </c>
      <c r="B73">
        <v>7345617</v>
      </c>
      <c r="C73">
        <v>7345468</v>
      </c>
      <c r="D73">
        <v>5443284</v>
      </c>
      <c r="E73">
        <v>1</v>
      </c>
      <c r="F73">
        <v>1</v>
      </c>
      <c r="G73">
        <v>1</v>
      </c>
      <c r="H73">
        <v>3</v>
      </c>
      <c r="I73" t="s">
        <v>413</v>
      </c>
      <c r="J73" t="s">
        <v>414</v>
      </c>
      <c r="K73" t="s">
        <v>415</v>
      </c>
      <c r="L73">
        <v>1348</v>
      </c>
      <c r="N73">
        <v>1009</v>
      </c>
      <c r="O73" t="s">
        <v>57</v>
      </c>
      <c r="P73" t="s">
        <v>57</v>
      </c>
      <c r="Q73">
        <v>1000</v>
      </c>
      <c r="Y73">
        <v>0.011</v>
      </c>
      <c r="AA73">
        <v>15255</v>
      </c>
      <c r="AB73">
        <v>0</v>
      </c>
      <c r="AC73">
        <v>0</v>
      </c>
      <c r="AD73">
        <v>0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0.011</v>
      </c>
      <c r="AV73">
        <v>0</v>
      </c>
    </row>
    <row r="74" spans="1:48" ht="12.75">
      <c r="A74">
        <f>ROW(Source!A101)</f>
        <v>101</v>
      </c>
      <c r="B74">
        <v>7345618</v>
      </c>
      <c r="C74">
        <v>7345468</v>
      </c>
      <c r="D74">
        <v>5443308</v>
      </c>
      <c r="E74">
        <v>1</v>
      </c>
      <c r="F74">
        <v>1</v>
      </c>
      <c r="G74">
        <v>1</v>
      </c>
      <c r="H74">
        <v>3</v>
      </c>
      <c r="I74" t="s">
        <v>416</v>
      </c>
      <c r="J74" t="s">
        <v>417</v>
      </c>
      <c r="K74" t="s">
        <v>418</v>
      </c>
      <c r="L74">
        <v>1348</v>
      </c>
      <c r="N74">
        <v>1009</v>
      </c>
      <c r="O74" t="s">
        <v>57</v>
      </c>
      <c r="P74" t="s">
        <v>57</v>
      </c>
      <c r="Q74">
        <v>1000</v>
      </c>
      <c r="Y74">
        <v>0.0008</v>
      </c>
      <c r="AA74">
        <v>11978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0.0008</v>
      </c>
      <c r="AV74">
        <v>0</v>
      </c>
    </row>
    <row r="75" spans="1:48" ht="12.75">
      <c r="A75">
        <f>ROW(Source!A101)</f>
        <v>101</v>
      </c>
      <c r="B75">
        <v>7345619</v>
      </c>
      <c r="C75">
        <v>7345468</v>
      </c>
      <c r="D75">
        <v>5444455</v>
      </c>
      <c r="E75">
        <v>1</v>
      </c>
      <c r="F75">
        <v>1</v>
      </c>
      <c r="G75">
        <v>1</v>
      </c>
      <c r="H75">
        <v>3</v>
      </c>
      <c r="I75" t="s">
        <v>419</v>
      </c>
      <c r="J75" t="s">
        <v>420</v>
      </c>
      <c r="K75" t="s">
        <v>421</v>
      </c>
      <c r="L75">
        <v>1339</v>
      </c>
      <c r="N75">
        <v>1007</v>
      </c>
      <c r="O75" t="s">
        <v>320</v>
      </c>
      <c r="P75" t="s">
        <v>320</v>
      </c>
      <c r="Q75">
        <v>1</v>
      </c>
      <c r="Y75">
        <v>0.067</v>
      </c>
      <c r="AA75">
        <v>1492</v>
      </c>
      <c r="AB75">
        <v>0</v>
      </c>
      <c r="AC75">
        <v>0</v>
      </c>
      <c r="AD75">
        <v>0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0.067</v>
      </c>
      <c r="AV75">
        <v>0</v>
      </c>
    </row>
    <row r="76" spans="1:48" ht="12.75">
      <c r="A76">
        <f>ROW(Source!A101)</f>
        <v>101</v>
      </c>
      <c r="B76">
        <v>7345620</v>
      </c>
      <c r="C76">
        <v>7345468</v>
      </c>
      <c r="D76">
        <v>5444476</v>
      </c>
      <c r="E76">
        <v>1</v>
      </c>
      <c r="F76">
        <v>1</v>
      </c>
      <c r="G76">
        <v>1</v>
      </c>
      <c r="H76">
        <v>3</v>
      </c>
      <c r="I76" t="s">
        <v>422</v>
      </c>
      <c r="J76" t="s">
        <v>423</v>
      </c>
      <c r="K76" t="s">
        <v>424</v>
      </c>
      <c r="L76">
        <v>1339</v>
      </c>
      <c r="N76">
        <v>1007</v>
      </c>
      <c r="O76" t="s">
        <v>320</v>
      </c>
      <c r="P76" t="s">
        <v>320</v>
      </c>
      <c r="Q76">
        <v>1</v>
      </c>
      <c r="Y76">
        <v>0.042</v>
      </c>
      <c r="AA76">
        <v>1320</v>
      </c>
      <c r="AB76">
        <v>0</v>
      </c>
      <c r="AC76">
        <v>0</v>
      </c>
      <c r="AD76">
        <v>0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0.042</v>
      </c>
      <c r="AV76">
        <v>0</v>
      </c>
    </row>
    <row r="77" spans="1:48" ht="12.75">
      <c r="A77">
        <f>ROW(Source!A102)</f>
        <v>102</v>
      </c>
      <c r="B77">
        <v>7345621</v>
      </c>
      <c r="C77">
        <v>7345478</v>
      </c>
      <c r="D77">
        <v>5518185</v>
      </c>
      <c r="E77">
        <v>1</v>
      </c>
      <c r="F77">
        <v>1</v>
      </c>
      <c r="G77">
        <v>1</v>
      </c>
      <c r="H77">
        <v>1</v>
      </c>
      <c r="I77" t="s">
        <v>425</v>
      </c>
      <c r="K77" t="s">
        <v>426</v>
      </c>
      <c r="L77">
        <v>1369</v>
      </c>
      <c r="N77">
        <v>1013</v>
      </c>
      <c r="O77" t="s">
        <v>286</v>
      </c>
      <c r="P77" t="s">
        <v>286</v>
      </c>
      <c r="Q77">
        <v>1</v>
      </c>
      <c r="Y77">
        <v>1.68</v>
      </c>
      <c r="AA77">
        <v>0</v>
      </c>
      <c r="AB77">
        <v>0</v>
      </c>
      <c r="AC77">
        <v>0</v>
      </c>
      <c r="AD77">
        <v>8.97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1.68</v>
      </c>
      <c r="AV77">
        <v>1</v>
      </c>
    </row>
    <row r="78" spans="1:48" ht="12.75">
      <c r="A78">
        <f>ROW(Source!A102)</f>
        <v>102</v>
      </c>
      <c r="B78">
        <v>7345622</v>
      </c>
      <c r="C78">
        <v>7345478</v>
      </c>
      <c r="D78">
        <v>121548</v>
      </c>
      <c r="E78">
        <v>1</v>
      </c>
      <c r="F78">
        <v>1</v>
      </c>
      <c r="G78">
        <v>1</v>
      </c>
      <c r="H78">
        <v>1</v>
      </c>
      <c r="I78" t="s">
        <v>26</v>
      </c>
      <c r="K78" t="s">
        <v>287</v>
      </c>
      <c r="L78">
        <v>608254</v>
      </c>
      <c r="N78">
        <v>1013</v>
      </c>
      <c r="O78" t="s">
        <v>288</v>
      </c>
      <c r="P78" t="s">
        <v>288</v>
      </c>
      <c r="Q78">
        <v>1</v>
      </c>
      <c r="Y78">
        <v>0.16</v>
      </c>
      <c r="AA78">
        <v>0</v>
      </c>
      <c r="AB78">
        <v>0</v>
      </c>
      <c r="AC78">
        <v>0</v>
      </c>
      <c r="AD78">
        <v>0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0.16</v>
      </c>
      <c r="AV78">
        <v>2</v>
      </c>
    </row>
    <row r="79" spans="1:48" ht="12.75">
      <c r="A79">
        <f>ROW(Source!A102)</f>
        <v>102</v>
      </c>
      <c r="B79">
        <v>7345623</v>
      </c>
      <c r="C79">
        <v>7345478</v>
      </c>
      <c r="D79">
        <v>5496870</v>
      </c>
      <c r="E79">
        <v>1</v>
      </c>
      <c r="F79">
        <v>1</v>
      </c>
      <c r="G79">
        <v>1</v>
      </c>
      <c r="H79">
        <v>2</v>
      </c>
      <c r="I79" t="s">
        <v>299</v>
      </c>
      <c r="J79" t="s">
        <v>300</v>
      </c>
      <c r="K79" t="s">
        <v>301</v>
      </c>
      <c r="L79">
        <v>1368</v>
      </c>
      <c r="N79">
        <v>1011</v>
      </c>
      <c r="O79" t="s">
        <v>292</v>
      </c>
      <c r="P79" t="s">
        <v>292</v>
      </c>
      <c r="Q79">
        <v>1</v>
      </c>
      <c r="Y79">
        <v>0.16</v>
      </c>
      <c r="AA79">
        <v>0</v>
      </c>
      <c r="AB79">
        <v>75.4</v>
      </c>
      <c r="AC79">
        <v>0</v>
      </c>
      <c r="AD79">
        <v>0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0.16</v>
      </c>
      <c r="AV79">
        <v>0</v>
      </c>
    </row>
    <row r="80" spans="1:48" ht="12.75">
      <c r="A80">
        <f>ROW(Source!A102)</f>
        <v>102</v>
      </c>
      <c r="B80">
        <v>7345624</v>
      </c>
      <c r="C80">
        <v>7345478</v>
      </c>
      <c r="D80">
        <v>5457091</v>
      </c>
      <c r="E80">
        <v>1</v>
      </c>
      <c r="F80">
        <v>1</v>
      </c>
      <c r="G80">
        <v>1</v>
      </c>
      <c r="H80">
        <v>3</v>
      </c>
      <c r="I80" t="s">
        <v>140</v>
      </c>
      <c r="J80" t="s">
        <v>142</v>
      </c>
      <c r="K80" t="s">
        <v>141</v>
      </c>
      <c r="L80">
        <v>1348</v>
      </c>
      <c r="N80">
        <v>1009</v>
      </c>
      <c r="O80" t="s">
        <v>57</v>
      </c>
      <c r="P80" t="s">
        <v>57</v>
      </c>
      <c r="Q80">
        <v>1000</v>
      </c>
      <c r="Y80">
        <v>0</v>
      </c>
      <c r="AA80">
        <v>6850</v>
      </c>
      <c r="AB80">
        <v>0</v>
      </c>
      <c r="AC80">
        <v>0</v>
      </c>
      <c r="AD80">
        <v>0</v>
      </c>
      <c r="AN80">
        <v>1</v>
      </c>
      <c r="AO80">
        <v>0</v>
      </c>
      <c r="AP80">
        <v>0</v>
      </c>
      <c r="AQ80">
        <v>0</v>
      </c>
      <c r="AR80">
        <v>0</v>
      </c>
      <c r="AT80">
        <v>0</v>
      </c>
      <c r="AV80">
        <v>0</v>
      </c>
    </row>
    <row r="81" spans="1:48" ht="12.75">
      <c r="A81">
        <f>ROW(Source!A104)</f>
        <v>104</v>
      </c>
      <c r="B81">
        <v>7345626</v>
      </c>
      <c r="C81">
        <v>7345484</v>
      </c>
      <c r="D81">
        <v>5525625</v>
      </c>
      <c r="E81">
        <v>1</v>
      </c>
      <c r="F81">
        <v>1</v>
      </c>
      <c r="G81">
        <v>1</v>
      </c>
      <c r="H81">
        <v>1</v>
      </c>
      <c r="I81" t="s">
        <v>427</v>
      </c>
      <c r="K81" t="s">
        <v>428</v>
      </c>
      <c r="L81">
        <v>1369</v>
      </c>
      <c r="N81">
        <v>1013</v>
      </c>
      <c r="O81" t="s">
        <v>286</v>
      </c>
      <c r="P81" t="s">
        <v>286</v>
      </c>
      <c r="Q81">
        <v>1</v>
      </c>
      <c r="Y81">
        <v>39.9</v>
      </c>
      <c r="AA81">
        <v>0</v>
      </c>
      <c r="AB81">
        <v>0</v>
      </c>
      <c r="AC81">
        <v>0</v>
      </c>
      <c r="AD81">
        <v>10.65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39.9</v>
      </c>
      <c r="AV81">
        <v>1</v>
      </c>
    </row>
    <row r="82" spans="1:48" ht="12.75">
      <c r="A82">
        <f>ROW(Source!A104)</f>
        <v>104</v>
      </c>
      <c r="B82">
        <v>7345627</v>
      </c>
      <c r="C82">
        <v>7345484</v>
      </c>
      <c r="D82">
        <v>121548</v>
      </c>
      <c r="E82">
        <v>1</v>
      </c>
      <c r="F82">
        <v>1</v>
      </c>
      <c r="G82">
        <v>1</v>
      </c>
      <c r="H82">
        <v>1</v>
      </c>
      <c r="I82" t="s">
        <v>26</v>
      </c>
      <c r="K82" t="s">
        <v>287</v>
      </c>
      <c r="L82">
        <v>608254</v>
      </c>
      <c r="N82">
        <v>1013</v>
      </c>
      <c r="O82" t="s">
        <v>288</v>
      </c>
      <c r="P82" t="s">
        <v>288</v>
      </c>
      <c r="Q82">
        <v>1</v>
      </c>
      <c r="Y82">
        <v>8</v>
      </c>
      <c r="AA82">
        <v>0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8</v>
      </c>
      <c r="AV82">
        <v>2</v>
      </c>
    </row>
    <row r="83" spans="1:48" ht="12.75">
      <c r="A83">
        <f>ROW(Source!A104)</f>
        <v>104</v>
      </c>
      <c r="B83">
        <v>7345628</v>
      </c>
      <c r="C83">
        <v>7345484</v>
      </c>
      <c r="D83">
        <v>5493707</v>
      </c>
      <c r="E83">
        <v>1</v>
      </c>
      <c r="F83">
        <v>1</v>
      </c>
      <c r="G83">
        <v>1</v>
      </c>
      <c r="H83">
        <v>2</v>
      </c>
      <c r="I83" t="s">
        <v>429</v>
      </c>
      <c r="J83" t="s">
        <v>430</v>
      </c>
      <c r="K83" t="s">
        <v>431</v>
      </c>
      <c r="L83">
        <v>1368</v>
      </c>
      <c r="N83">
        <v>1011</v>
      </c>
      <c r="O83" t="s">
        <v>292</v>
      </c>
      <c r="P83" t="s">
        <v>292</v>
      </c>
      <c r="Q83">
        <v>1</v>
      </c>
      <c r="Y83">
        <v>8</v>
      </c>
      <c r="AA83">
        <v>0</v>
      </c>
      <c r="AB83">
        <v>90.8</v>
      </c>
      <c r="AC83">
        <v>13.5</v>
      </c>
      <c r="AD83">
        <v>0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8</v>
      </c>
      <c r="AV83">
        <v>0</v>
      </c>
    </row>
    <row r="84" spans="1:48" ht="12.75">
      <c r="A84">
        <f>ROW(Source!A104)</f>
        <v>104</v>
      </c>
      <c r="B84">
        <v>7345629</v>
      </c>
      <c r="C84">
        <v>7345484</v>
      </c>
      <c r="D84">
        <v>5470426</v>
      </c>
      <c r="E84">
        <v>1</v>
      </c>
      <c r="F84">
        <v>1</v>
      </c>
      <c r="G84">
        <v>1</v>
      </c>
      <c r="H84">
        <v>3</v>
      </c>
      <c r="I84" t="s">
        <v>148</v>
      </c>
      <c r="J84" t="s">
        <v>151</v>
      </c>
      <c r="K84" t="s">
        <v>149</v>
      </c>
      <c r="L84">
        <v>1488</v>
      </c>
      <c r="N84">
        <v>1013</v>
      </c>
      <c r="O84" t="s">
        <v>150</v>
      </c>
      <c r="P84" t="s">
        <v>150</v>
      </c>
      <c r="Q84">
        <v>1</v>
      </c>
      <c r="Y84">
        <v>0</v>
      </c>
      <c r="AA84">
        <v>0.43</v>
      </c>
      <c r="AB84">
        <v>0</v>
      </c>
      <c r="AC84">
        <v>0</v>
      </c>
      <c r="AD84">
        <v>0</v>
      </c>
      <c r="AN84">
        <v>1</v>
      </c>
      <c r="AO84">
        <v>0</v>
      </c>
      <c r="AP84">
        <v>0</v>
      </c>
      <c r="AQ84">
        <v>0</v>
      </c>
      <c r="AR84">
        <v>0</v>
      </c>
      <c r="AT84">
        <v>0</v>
      </c>
      <c r="AV84">
        <v>0</v>
      </c>
    </row>
    <row r="85" spans="1:48" ht="12.75">
      <c r="A85">
        <f>ROW(Source!A106)</f>
        <v>106</v>
      </c>
      <c r="B85">
        <v>7345631</v>
      </c>
      <c r="C85">
        <v>7345490</v>
      </c>
      <c r="D85">
        <v>5518582</v>
      </c>
      <c r="E85">
        <v>1</v>
      </c>
      <c r="F85">
        <v>1</v>
      </c>
      <c r="G85">
        <v>1</v>
      </c>
      <c r="H85">
        <v>1</v>
      </c>
      <c r="I85" t="s">
        <v>432</v>
      </c>
      <c r="K85" t="s">
        <v>433</v>
      </c>
      <c r="L85">
        <v>1369</v>
      </c>
      <c r="N85">
        <v>1013</v>
      </c>
      <c r="O85" t="s">
        <v>286</v>
      </c>
      <c r="P85" t="s">
        <v>286</v>
      </c>
      <c r="Q85">
        <v>1</v>
      </c>
      <c r="Y85">
        <v>67.83</v>
      </c>
      <c r="AA85">
        <v>0</v>
      </c>
      <c r="AB85">
        <v>0</v>
      </c>
      <c r="AC85">
        <v>0</v>
      </c>
      <c r="AD85">
        <v>8.75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67.83</v>
      </c>
      <c r="AV85">
        <v>1</v>
      </c>
    </row>
    <row r="86" spans="1:48" ht="12.75">
      <c r="A86">
        <f>ROW(Source!A106)</f>
        <v>106</v>
      </c>
      <c r="B86">
        <v>7345632</v>
      </c>
      <c r="C86">
        <v>7345490</v>
      </c>
      <c r="D86">
        <v>121548</v>
      </c>
      <c r="E86">
        <v>1</v>
      </c>
      <c r="F86">
        <v>1</v>
      </c>
      <c r="G86">
        <v>1</v>
      </c>
      <c r="H86">
        <v>1</v>
      </c>
      <c r="I86" t="s">
        <v>26</v>
      </c>
      <c r="K86" t="s">
        <v>287</v>
      </c>
      <c r="L86">
        <v>608254</v>
      </c>
      <c r="N86">
        <v>1013</v>
      </c>
      <c r="O86" t="s">
        <v>288</v>
      </c>
      <c r="P86" t="s">
        <v>288</v>
      </c>
      <c r="Q86">
        <v>1</v>
      </c>
      <c r="Y86">
        <v>2.61</v>
      </c>
      <c r="AA86">
        <v>0</v>
      </c>
      <c r="AB86">
        <v>0</v>
      </c>
      <c r="AC86">
        <v>0</v>
      </c>
      <c r="AD86">
        <v>0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2.61</v>
      </c>
      <c r="AV86">
        <v>2</v>
      </c>
    </row>
    <row r="87" spans="1:48" ht="12.75">
      <c r="A87">
        <f>ROW(Source!A106)</f>
        <v>106</v>
      </c>
      <c r="B87">
        <v>7345633</v>
      </c>
      <c r="C87">
        <v>7345490</v>
      </c>
      <c r="D87">
        <v>5493852</v>
      </c>
      <c r="E87">
        <v>1</v>
      </c>
      <c r="F87">
        <v>1</v>
      </c>
      <c r="G87">
        <v>1</v>
      </c>
      <c r="H87">
        <v>2</v>
      </c>
      <c r="I87" t="s">
        <v>394</v>
      </c>
      <c r="J87" t="s">
        <v>290</v>
      </c>
      <c r="K87" t="s">
        <v>395</v>
      </c>
      <c r="L87">
        <v>1368</v>
      </c>
      <c r="N87">
        <v>1011</v>
      </c>
      <c r="O87" t="s">
        <v>292</v>
      </c>
      <c r="P87" t="s">
        <v>292</v>
      </c>
      <c r="Q87">
        <v>1</v>
      </c>
      <c r="Y87">
        <v>0.32</v>
      </c>
      <c r="AA87">
        <v>0</v>
      </c>
      <c r="AB87">
        <v>134.65</v>
      </c>
      <c r="AC87">
        <v>13.5</v>
      </c>
      <c r="AD87">
        <v>0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0.32</v>
      </c>
      <c r="AV87">
        <v>0</v>
      </c>
    </row>
    <row r="88" spans="1:48" ht="12.75">
      <c r="A88">
        <f>ROW(Source!A106)</f>
        <v>106</v>
      </c>
      <c r="B88">
        <v>7345634</v>
      </c>
      <c r="C88">
        <v>7345490</v>
      </c>
      <c r="D88">
        <v>5494274</v>
      </c>
      <c r="E88">
        <v>1</v>
      </c>
      <c r="F88">
        <v>1</v>
      </c>
      <c r="G88">
        <v>1</v>
      </c>
      <c r="H88">
        <v>2</v>
      </c>
      <c r="I88" t="s">
        <v>396</v>
      </c>
      <c r="J88" t="s">
        <v>397</v>
      </c>
      <c r="K88" t="s">
        <v>398</v>
      </c>
      <c r="L88">
        <v>1368</v>
      </c>
      <c r="N88">
        <v>1011</v>
      </c>
      <c r="O88" t="s">
        <v>292</v>
      </c>
      <c r="P88" t="s">
        <v>292</v>
      </c>
      <c r="Q88">
        <v>1</v>
      </c>
      <c r="Y88">
        <v>7.55</v>
      </c>
      <c r="AA88">
        <v>0</v>
      </c>
      <c r="AB88">
        <v>8.1</v>
      </c>
      <c r="AC88">
        <v>0</v>
      </c>
      <c r="AD88">
        <v>0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7.55</v>
      </c>
      <c r="AV88">
        <v>0</v>
      </c>
    </row>
    <row r="89" spans="1:48" ht="12.75">
      <c r="A89">
        <f>ROW(Source!A106)</f>
        <v>106</v>
      </c>
      <c r="B89">
        <v>7345635</v>
      </c>
      <c r="C89">
        <v>7345490</v>
      </c>
      <c r="D89">
        <v>5494445</v>
      </c>
      <c r="E89">
        <v>1</v>
      </c>
      <c r="F89">
        <v>1</v>
      </c>
      <c r="G89">
        <v>1</v>
      </c>
      <c r="H89">
        <v>2</v>
      </c>
      <c r="I89" t="s">
        <v>349</v>
      </c>
      <c r="J89" t="s">
        <v>350</v>
      </c>
      <c r="K89" t="s">
        <v>351</v>
      </c>
      <c r="L89">
        <v>1368</v>
      </c>
      <c r="N89">
        <v>1011</v>
      </c>
      <c r="O89" t="s">
        <v>292</v>
      </c>
      <c r="P89" t="s">
        <v>292</v>
      </c>
      <c r="Q89">
        <v>1</v>
      </c>
      <c r="Y89">
        <v>0.43</v>
      </c>
      <c r="AA89">
        <v>0</v>
      </c>
      <c r="AB89">
        <v>70</v>
      </c>
      <c r="AC89">
        <v>11.6</v>
      </c>
      <c r="AD89">
        <v>0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0.43</v>
      </c>
      <c r="AV89">
        <v>0</v>
      </c>
    </row>
    <row r="90" spans="1:48" ht="12.75">
      <c r="A90">
        <f>ROW(Source!A106)</f>
        <v>106</v>
      </c>
      <c r="B90">
        <v>7345636</v>
      </c>
      <c r="C90">
        <v>7345490</v>
      </c>
      <c r="D90">
        <v>5495546</v>
      </c>
      <c r="E90">
        <v>1</v>
      </c>
      <c r="F90">
        <v>1</v>
      </c>
      <c r="G90">
        <v>1</v>
      </c>
      <c r="H90">
        <v>2</v>
      </c>
      <c r="I90" t="s">
        <v>434</v>
      </c>
      <c r="J90" t="s">
        <v>435</v>
      </c>
      <c r="K90" t="s">
        <v>436</v>
      </c>
      <c r="L90">
        <v>1368</v>
      </c>
      <c r="N90">
        <v>1011</v>
      </c>
      <c r="O90" t="s">
        <v>292</v>
      </c>
      <c r="P90" t="s">
        <v>292</v>
      </c>
      <c r="Q90">
        <v>1</v>
      </c>
      <c r="Y90">
        <v>1</v>
      </c>
      <c r="AA90">
        <v>0</v>
      </c>
      <c r="AB90">
        <v>138.1</v>
      </c>
      <c r="AC90">
        <v>11.6</v>
      </c>
      <c r="AD90">
        <v>0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1</v>
      </c>
      <c r="AV90">
        <v>0</v>
      </c>
    </row>
    <row r="91" spans="1:48" ht="12.75">
      <c r="A91">
        <f>ROW(Source!A106)</f>
        <v>106</v>
      </c>
      <c r="B91">
        <v>7345637</v>
      </c>
      <c r="C91">
        <v>7345490</v>
      </c>
      <c r="D91">
        <v>5496872</v>
      </c>
      <c r="E91">
        <v>1</v>
      </c>
      <c r="F91">
        <v>1</v>
      </c>
      <c r="G91">
        <v>1</v>
      </c>
      <c r="H91">
        <v>2</v>
      </c>
      <c r="I91" t="s">
        <v>366</v>
      </c>
      <c r="J91" t="s">
        <v>367</v>
      </c>
      <c r="K91" t="s">
        <v>368</v>
      </c>
      <c r="L91">
        <v>1368</v>
      </c>
      <c r="N91">
        <v>1011</v>
      </c>
      <c r="O91" t="s">
        <v>292</v>
      </c>
      <c r="P91" t="s">
        <v>292</v>
      </c>
      <c r="Q91">
        <v>1</v>
      </c>
      <c r="Y91">
        <v>0.86</v>
      </c>
      <c r="AA91">
        <v>0</v>
      </c>
      <c r="AB91">
        <v>95.53</v>
      </c>
      <c r="AC91">
        <v>0</v>
      </c>
      <c r="AD91">
        <v>0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0.86</v>
      </c>
      <c r="AV91">
        <v>0</v>
      </c>
    </row>
    <row r="92" spans="1:48" ht="12.75">
      <c r="A92">
        <f>ROW(Source!A106)</f>
        <v>106</v>
      </c>
      <c r="B92">
        <v>7345638</v>
      </c>
      <c r="C92">
        <v>7345490</v>
      </c>
      <c r="D92">
        <v>5443128</v>
      </c>
      <c r="E92">
        <v>1</v>
      </c>
      <c r="F92">
        <v>1</v>
      </c>
      <c r="G92">
        <v>1</v>
      </c>
      <c r="H92">
        <v>3</v>
      </c>
      <c r="I92" t="s">
        <v>437</v>
      </c>
      <c r="J92" t="s">
        <v>438</v>
      </c>
      <c r="K92" t="s">
        <v>439</v>
      </c>
      <c r="L92">
        <v>1348</v>
      </c>
      <c r="N92">
        <v>1009</v>
      </c>
      <c r="O92" t="s">
        <v>57</v>
      </c>
      <c r="P92" t="s">
        <v>57</v>
      </c>
      <c r="Q92">
        <v>1000</v>
      </c>
      <c r="Y92">
        <v>0.0004</v>
      </c>
      <c r="AA92">
        <v>5763</v>
      </c>
      <c r="AB92">
        <v>0</v>
      </c>
      <c r="AC92">
        <v>0</v>
      </c>
      <c r="AD92">
        <v>0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0.0004</v>
      </c>
      <c r="AV92">
        <v>0</v>
      </c>
    </row>
    <row r="93" spans="1:48" ht="12.75">
      <c r="A93">
        <f>ROW(Source!A106)</f>
        <v>106</v>
      </c>
      <c r="B93">
        <v>7345639</v>
      </c>
      <c r="C93">
        <v>7345490</v>
      </c>
      <c r="D93">
        <v>5443140</v>
      </c>
      <c r="E93">
        <v>1</v>
      </c>
      <c r="F93">
        <v>1</v>
      </c>
      <c r="G93">
        <v>1</v>
      </c>
      <c r="H93">
        <v>3</v>
      </c>
      <c r="I93" t="s">
        <v>440</v>
      </c>
      <c r="J93" t="s">
        <v>441</v>
      </c>
      <c r="K93" t="s">
        <v>442</v>
      </c>
      <c r="L93">
        <v>1348</v>
      </c>
      <c r="N93">
        <v>1009</v>
      </c>
      <c r="O93" t="s">
        <v>57</v>
      </c>
      <c r="P93" t="s">
        <v>57</v>
      </c>
      <c r="Q93">
        <v>1000</v>
      </c>
      <c r="Y93">
        <v>0.1222</v>
      </c>
      <c r="AA93">
        <v>5763</v>
      </c>
      <c r="AB93">
        <v>0</v>
      </c>
      <c r="AC93">
        <v>0</v>
      </c>
      <c r="AD93">
        <v>0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0.1222</v>
      </c>
      <c r="AV93">
        <v>0</v>
      </c>
    </row>
    <row r="94" spans="1:48" ht="12.75">
      <c r="A94">
        <f>ROW(Source!A106)</f>
        <v>106</v>
      </c>
      <c r="B94">
        <v>7345640</v>
      </c>
      <c r="C94">
        <v>7345490</v>
      </c>
      <c r="D94">
        <v>5443145</v>
      </c>
      <c r="E94">
        <v>1</v>
      </c>
      <c r="F94">
        <v>1</v>
      </c>
      <c r="G94">
        <v>1</v>
      </c>
      <c r="H94">
        <v>3</v>
      </c>
      <c r="I94" t="s">
        <v>443</v>
      </c>
      <c r="J94" t="s">
        <v>444</v>
      </c>
      <c r="K94" t="s">
        <v>445</v>
      </c>
      <c r="L94">
        <v>1348</v>
      </c>
      <c r="N94">
        <v>1009</v>
      </c>
      <c r="O94" t="s">
        <v>57</v>
      </c>
      <c r="P94" t="s">
        <v>57</v>
      </c>
      <c r="Q94">
        <v>1000</v>
      </c>
      <c r="Y94">
        <v>0.1062</v>
      </c>
      <c r="AA94">
        <v>5763</v>
      </c>
      <c r="AB94">
        <v>0</v>
      </c>
      <c r="AC94">
        <v>0</v>
      </c>
      <c r="AD94">
        <v>0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0.1062</v>
      </c>
      <c r="AV94">
        <v>0</v>
      </c>
    </row>
    <row r="95" spans="1:48" ht="12.75">
      <c r="A95">
        <f>ROW(Source!A106)</f>
        <v>106</v>
      </c>
      <c r="B95">
        <v>7345641</v>
      </c>
      <c r="C95">
        <v>7345490</v>
      </c>
      <c r="D95">
        <v>5443291</v>
      </c>
      <c r="E95">
        <v>1</v>
      </c>
      <c r="F95">
        <v>1</v>
      </c>
      <c r="G95">
        <v>1</v>
      </c>
      <c r="H95">
        <v>3</v>
      </c>
      <c r="I95" t="s">
        <v>446</v>
      </c>
      <c r="J95" t="s">
        <v>447</v>
      </c>
      <c r="K95" t="s">
        <v>448</v>
      </c>
      <c r="L95">
        <v>1348</v>
      </c>
      <c r="N95">
        <v>1009</v>
      </c>
      <c r="O95" t="s">
        <v>57</v>
      </c>
      <c r="P95" t="s">
        <v>57</v>
      </c>
      <c r="Q95">
        <v>1000</v>
      </c>
      <c r="Y95">
        <v>0.0049</v>
      </c>
      <c r="AA95">
        <v>9073.9</v>
      </c>
      <c r="AB95">
        <v>0</v>
      </c>
      <c r="AC95">
        <v>0</v>
      </c>
      <c r="AD95">
        <v>0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0.0049</v>
      </c>
      <c r="AV95">
        <v>0</v>
      </c>
    </row>
    <row r="96" spans="1:48" ht="12.75">
      <c r="A96">
        <f>ROW(Source!A106)</f>
        <v>106</v>
      </c>
      <c r="B96">
        <v>7345642</v>
      </c>
      <c r="C96">
        <v>7345490</v>
      </c>
      <c r="D96">
        <v>5443448</v>
      </c>
      <c r="E96">
        <v>1</v>
      </c>
      <c r="F96">
        <v>1</v>
      </c>
      <c r="G96">
        <v>1</v>
      </c>
      <c r="H96">
        <v>3</v>
      </c>
      <c r="I96" t="s">
        <v>399</v>
      </c>
      <c r="J96" t="s">
        <v>400</v>
      </c>
      <c r="K96" t="s">
        <v>401</v>
      </c>
      <c r="L96">
        <v>1346</v>
      </c>
      <c r="N96">
        <v>1009</v>
      </c>
      <c r="O96" t="s">
        <v>402</v>
      </c>
      <c r="P96" t="s">
        <v>402</v>
      </c>
      <c r="Q96">
        <v>1</v>
      </c>
      <c r="Y96">
        <v>1.278</v>
      </c>
      <c r="AA96">
        <v>14.3</v>
      </c>
      <c r="AB96">
        <v>0</v>
      </c>
      <c r="AC96">
        <v>0</v>
      </c>
      <c r="AD96">
        <v>0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1.278</v>
      </c>
      <c r="AV96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Kompanichenko</cp:lastModifiedBy>
  <dcterms:created xsi:type="dcterms:W3CDTF">2008-12-25T11:42:06Z</dcterms:created>
  <dcterms:modified xsi:type="dcterms:W3CDTF">2008-12-25T11:42:06Z</dcterms:modified>
  <cp:category/>
  <cp:version/>
  <cp:contentType/>
  <cp:contentStatus/>
</cp:coreProperties>
</file>