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55" activeTab="0"/>
  </bookViews>
  <sheets>
    <sheet name="Лист1" sheetId="1" r:id="rId1"/>
    <sheet name="Source" sheetId="2" r:id="rId2"/>
    <sheet name="SmtRes" sheetId="3" r:id="rId3"/>
    <sheet name="ClcRes" sheetId="4" r:id="rId4"/>
  </sheets>
  <externalReferences>
    <externalReference r:id="rId7"/>
    <externalReference r:id="rId8"/>
    <externalReference r:id="rId9"/>
  </externalReferences>
  <definedNames>
    <definedName name="_xlnm.Print_Titles" localSheetId="0">'Лист1'!$35:$35</definedName>
    <definedName name="_xlnm.Print_Area" localSheetId="0">'Лист1'!$A$1:$L$115</definedName>
  </definedNames>
  <calcPr fullCalcOnLoad="1"/>
</workbook>
</file>

<file path=xl/sharedStrings.xml><?xml version="1.0" encoding="utf-8"?>
<sst xmlns="http://schemas.openxmlformats.org/spreadsheetml/2006/main" count="985" uniqueCount="342">
  <si>
    <t>Smeta.ru  (095) 974-1589</t>
  </si>
  <si>
    <t>_PS_</t>
  </si>
  <si>
    <t>Smeta.ru</t>
  </si>
  <si>
    <t/>
  </si>
  <si>
    <t>Новый объект</t>
  </si>
  <si>
    <t>Устройство временной дороги</t>
  </si>
  <si>
    <t>Мособлгосэкспертиза</t>
  </si>
  <si>
    <t>Сметные нормы списания</t>
  </si>
  <si>
    <t>Коды ценников</t>
  </si>
  <si>
    <t>ФЕР версия 2 с параметрами</t>
  </si>
  <si>
    <t>Тип. расчёт(с 0.94) для норм 2001 года  МДС 81.33-2004 и МДС 81.25-99</t>
  </si>
  <si>
    <t>Московская область</t>
  </si>
  <si>
    <t>Поправки для НБ 2001 нов МДС  для вер.2 с параметрами</t>
  </si>
  <si>
    <t>Новая локальная смета</t>
  </si>
  <si>
    <t>{0D54732E-C1D6-457B-88EB-7C6B242623E3}</t>
  </si>
  <si>
    <t>1</t>
  </si>
  <si>
    <t>01-01-036-1</t>
  </si>
  <si>
    <t>Планировка площадей бульдозерами мощностью 59 (80) кВт (л.с.)</t>
  </si>
  <si>
    <t>1000 м2</t>
  </si>
  <si>
    <t>ТЕР Московской обл.,сб.01,гл.01,табл.036,поз.1</t>
  </si>
  <si>
    <t>1000 м2 спланированной поверхности за 1 проход бульдозера</t>
  </si>
  <si>
    <t>Общестроительные работы</t>
  </si>
  <si>
    <t>Земляные работы, выполняемые  механизированным способом</t>
  </si>
  <si>
    <t>1-1</t>
  </si>
  <si>
    <t>2</t>
  </si>
  <si>
    <t>27-04-001-1</t>
  </si>
  <si>
    <t>Устройство подстилающих и выравнивающих слоев оснований: из песка</t>
  </si>
  <si>
    <t>100 м3</t>
  </si>
  <si>
    <t>ТЕР Московской обл.,сб.27,гл.04,табл.001,поз.1</t>
  </si>
  <si>
    <t>100 м3 материала основания (в плотном теле)</t>
  </si>
  <si>
    <t>Автомобильные дороги</t>
  </si>
  <si>
    <t>21</t>
  </si>
  <si>
    <t>3</t>
  </si>
  <si>
    <t>27-12-010-4</t>
  </si>
  <si>
    <t>Разборка дорог из сборных железобетонных плит площадью: более 3 м2</t>
  </si>
  <si>
    <t>ТЕР Московской обл.,сб.27,гл.12,табл.010,поз.4</t>
  </si>
  <si>
    <t>100 м3 сборных железобетонных плит</t>
  </si>
  <si>
    <t>4</t>
  </si>
  <si>
    <t>27-12-010-2</t>
  </si>
  <si>
    <t>Устройство дорог из сборных железобетонных плит площадью: более 3 м2</t>
  </si>
  <si>
    <t>ТЕР Московской обл.,сб.27,гл.12,табл.010,поз.2</t>
  </si>
  <si>
    <t>4,1</t>
  </si>
  <si>
    <t>446-6010</t>
  </si>
  <si>
    <t>Плиты железобетонные для покрытий автомобильных дорог</t>
  </si>
  <si>
    <t>м3</t>
  </si>
  <si>
    <t>ССЦ Московской обл.,сб.446,поз.6010</t>
  </si>
  <si>
    <t>5</t>
  </si>
  <si>
    <t>5,1</t>
  </si>
  <si>
    <t>6</t>
  </si>
  <si>
    <t>310-1001-1</t>
  </si>
  <si>
    <t>Перевозка бетонных, железобетонных изделий, стеновых и перегородочных материалов, лесоматериалов круглых и материалов бортовым автомобилем грузоподъемностью 15 т на расстояние 1 км, класс груза 1.</t>
  </si>
  <si>
    <t>т</t>
  </si>
  <si>
    <t>ФССЦ ч.1, сб.310,гл.10,табл.1-1</t>
  </si>
  <si>
    <t>Перевозка, тара и упаковка</t>
  </si>
  <si>
    <t>Перевозка грузов автомобильным транспортом</t>
  </si>
  <si>
    <t>авто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</si>
  <si>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</si>
  <si>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</si>
  <si>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</si>
  <si>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</si>
  <si>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</si>
  <si>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</si>
  <si>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</si>
  <si>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</si>
  <si>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</si>
  <si>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</si>
  <si>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</si>
  <si>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</si>
  <si>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</si>
  <si>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</si>
  <si>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</si>
  <si>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</si>
  <si>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</si>
  <si>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</si>
  <si>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</si>
  <si>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</si>
  <si>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</si>
  <si>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</si>
  <si>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</si>
  <si>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ПРЯМЫЕ ЗАТРАТЫ</t>
  </si>
  <si>
    <t>ИТОГ2</t>
  </si>
  <si>
    <t>НАКЛАДНЫЕ  РАСХОДЫ</t>
  </si>
  <si>
    <t>ИТОГ3</t>
  </si>
  <si>
    <t>СМЕТНАЯ ПРИБЫЛЬ</t>
  </si>
  <si>
    <t>ИТОГ4</t>
  </si>
  <si>
    <t>ИТОГО</t>
  </si>
  <si>
    <t>труд</t>
  </si>
  <si>
    <t>Трудоемкость</t>
  </si>
  <si>
    <t>фот</t>
  </si>
  <si>
    <t>Фонд оплаты труда</t>
  </si>
  <si>
    <t>ЗУ</t>
  </si>
  <si>
    <t>ЗИМНЕЕ УДОРОЖАНИЕ %</t>
  </si>
  <si>
    <t>проставьте % ЗУ</t>
  </si>
  <si>
    <t>ИТОГ5</t>
  </si>
  <si>
    <t>С ЗИМНИМ УДОРОЖАНИЕМ</t>
  </si>
  <si>
    <t>ИТОГ6</t>
  </si>
  <si>
    <t>ВРЕМЕННЫЕ СООРУЖЕНИЯ %</t>
  </si>
  <si>
    <t>проставьте % временных сооружений</t>
  </si>
  <si>
    <t>ИТОГ7</t>
  </si>
  <si>
    <t>ИТОГО С ВРЕМЕННЫМИ</t>
  </si>
  <si>
    <t>ИТОГ8</t>
  </si>
  <si>
    <t>НДС 18%</t>
  </si>
  <si>
    <t>ВСЕГО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</si>
  <si>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</si>
  <si>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</si>
  <si>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</si>
  <si>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</si>
  <si>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</si>
  <si>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</si>
  <si>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</si>
  <si>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</si>
  <si>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</si>
  <si>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</si>
  <si>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</si>
  <si>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</si>
  <si>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</si>
  <si>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</si>
  <si>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</si>
  <si>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</si>
  <si>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</si>
  <si>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</si>
  <si>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</si>
  <si>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</si>
  <si>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</si>
  <si>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</si>
  <si>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</si>
  <si>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</si>
  <si>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</si>
  <si>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</si>
  <si>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</si>
  <si>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</si>
  <si>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</si>
  <si>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</si>
  <si>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</si>
  <si>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</si>
  <si>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</si>
  <si>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</si>
  <si>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</si>
  <si>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</si>
  <si>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</si>
  <si>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</si>
  <si>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</si>
  <si>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</si>
  <si>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</si>
  <si>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</si>
  <si>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</si>
  <si>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</si>
  <si>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</si>
  <si>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</si>
  <si>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</si>
  <si>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</si>
  <si>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</si>
  <si>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</si>
  <si>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</si>
  <si>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</si>
  <si>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</si>
  <si>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</si>
  <si>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</si>
  <si>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</si>
  <si>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</si>
  <si>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</si>
  <si>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</si>
  <si>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</si>
  <si>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</si>
  <si>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</si>
  <si>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</si>
  <si>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</si>
  <si>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</si>
  <si>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</si>
  <si>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</si>
  <si>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</si>
  <si>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</si>
  <si>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</si>
  <si>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</si>
  <si>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</si>
  <si>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</si>
  <si>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</si>
  <si>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</si>
  <si>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</si>
  <si>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</si>
  <si>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</si>
  <si>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</si>
  <si>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</si>
  <si>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</si>
  <si>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</si>
  <si>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</si>
  <si>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</si>
  <si>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</si>
  <si>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</si>
  <si>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</si>
  <si>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</si>
  <si>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</si>
  <si>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</si>
  <si>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</si>
  <si>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</si>
  <si>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</si>
  <si>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</si>
  <si>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</si>
  <si>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</si>
  <si>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</si>
  <si>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</si>
  <si>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</si>
  <si>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</si>
  <si>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</si>
  <si>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</si>
  <si>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</si>
  <si>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</si>
  <si>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</si>
  <si>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</si>
  <si>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</si>
  <si>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</si>
  <si>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</si>
  <si>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</si>
  <si>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</si>
  <si>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</si>
  <si>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</si>
  <si>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</si>
  <si>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</si>
  <si>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</si>
  <si>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</si>
  <si>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</si>
  <si>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</si>
  <si>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</si>
  <si>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</si>
  <si>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</si>
  <si>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</si>
  <si>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</si>
  <si>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</si>
  <si>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</si>
  <si>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</si>
  <si>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</si>
  <si>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Затраты труда машинистов</t>
  </si>
  <si>
    <t>чел.час</t>
  </si>
  <si>
    <t>070148</t>
  </si>
  <si>
    <t>481211</t>
  </si>
  <si>
    <t>Бульдозеры при работе на других видах строительства (кроме водохозяйственного) 59 (80) кВт (л.с.)</t>
  </si>
  <si>
    <t>маш.-ч</t>
  </si>
  <si>
    <t>1-2.3-50</t>
  </si>
  <si>
    <t>Затраты труда рабочих, разряд работ 2.3</t>
  </si>
  <si>
    <t>чел.-ч</t>
  </si>
  <si>
    <t>030101</t>
  </si>
  <si>
    <t>452712</t>
  </si>
  <si>
    <t>Автопогрузчики 5 т</t>
  </si>
  <si>
    <t>120202</t>
  </si>
  <si>
    <t>481412</t>
  </si>
  <si>
    <t>Автогрейдеры среднего типа 99 (135) кВт (л.с.)</t>
  </si>
  <si>
    <t>120911</t>
  </si>
  <si>
    <t>482411</t>
  </si>
  <si>
    <t>Катки дорожные самоходные на пневмоколесном ходу 30 т</t>
  </si>
  <si>
    <t>121601</t>
  </si>
  <si>
    <t>482218</t>
  </si>
  <si>
    <t>Машины поливомоечные 6000 л</t>
  </si>
  <si>
    <t>408-0121</t>
  </si>
  <si>
    <t>ССЦ Московской обл.,сб.408,поз.0121</t>
  </si>
  <si>
    <t>Песок природный для строительных работ повышенной крупности и крупный</t>
  </si>
  <si>
    <t>411-0001</t>
  </si>
  <si>
    <t>ССЦ Московской обл.,сб.411,поз.0001</t>
  </si>
  <si>
    <t>Вода</t>
  </si>
  <si>
    <t>1-2.6-50</t>
  </si>
  <si>
    <t>Затраты труда рабочих, разряд работ 2.6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</si>
  <si>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</si>
  <si>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</si>
  <si>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</si>
  <si>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400001</t>
  </si>
  <si>
    <t>451114</t>
  </si>
  <si>
    <t>Автомобили бортовые грузоподъемностью до 5 т</t>
  </si>
  <si>
    <t>1-2.8-50</t>
  </si>
  <si>
    <t>Затраты труда рабочих, разряд работ 2.8</t>
  </si>
  <si>
    <t>408-0122</t>
  </si>
  <si>
    <t>ССЦ Московской обл.,сб.408,поз.0122</t>
  </si>
  <si>
    <t>Песок природный для строительных работ средний</t>
  </si>
  <si>
    <t>400004</t>
  </si>
  <si>
    <t>451116</t>
  </si>
  <si>
    <t>Автомобили бортовые грузоподъемностью до 15 т</t>
  </si>
  <si>
    <t>маш.ч</t>
  </si>
  <si>
    <t>МАШ.Ч</t>
  </si>
  <si>
    <t>(Наименование стройки)</t>
  </si>
  <si>
    <t xml:space="preserve">Номер заказа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</si>
  <si>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</si>
  <si>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</si>
  <si>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</si>
  <si>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</si>
  <si>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</si>
  <si>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</si>
  <si>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</si>
  <si>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</si>
  <si>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</si>
  <si>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</si>
  <si>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</si>
  <si>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</si>
  <si>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Апрель 2007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</si>
  <si>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</si>
  <si>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</si>
  <si>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</si>
  <si>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</si>
  <si>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</si>
  <si>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</si>
  <si>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</si>
  <si>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</si>
  <si>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</si>
  <si>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</si>
  <si>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</si>
  <si>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</si>
  <si>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</si>
  <si>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</si>
  <si>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</si>
  <si>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</si>
  <si>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</si>
  <si>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</si>
  <si>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</si>
  <si>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</si>
  <si>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</si>
  <si>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</si>
  <si>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</si>
  <si>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</si>
  <si>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</si>
  <si>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</si>
  <si>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</si>
  <si>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</si>
  <si>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</si>
  <si>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</si>
  <si>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</si>
  <si>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</si>
  <si>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</si>
  <si>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</si>
  <si>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</si>
  <si>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>в т.ч. зарплата машинистов</t>
  </si>
  <si>
    <t>Накладные расходы от ФОТ</t>
  </si>
  <si>
    <t>%</t>
  </si>
  <si>
    <t>Плановые накопления от ФОТ</t>
  </si>
  <si>
    <t>Зарплата</t>
  </si>
  <si>
    <t>Материальные ресурсы</t>
  </si>
  <si>
    <t>Затраты труда</t>
  </si>
  <si>
    <t>чел-ч</t>
  </si>
  <si>
    <t>Итого</t>
  </si>
  <si>
    <t>Итого по смете</t>
  </si>
  <si>
    <t>Итого по локальной смете</t>
  </si>
  <si>
    <t>Итого по объекту</t>
  </si>
  <si>
    <t>ИСПОЛНИЛ</t>
  </si>
  <si>
    <t>[должность,подпись(инициалы,фамилия)]</t>
  </si>
  <si>
    <t>ПРОВЕРИЛ</t>
  </si>
  <si>
    <t xml:space="preserve">ЛОКАЛЬНАЯ СМЕТА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</si>
</sst>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justify" vertical="top" wrapText="1" shrinkToFit="1"/>
    </xf>
    <xf numFmtId="0" fontId="14" fillId="0" borderId="0" xfId="0" applyFont="1" applyAlignment="1">
      <alignment horizontal="right" wrapText="1" shrinkToFi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right"/>
    </xf>
    <xf numFmtId="2" fontId="10" fillId="0" borderId="5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 shrinkToFi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justify" vertical="top" wrapText="1" shrinkToFit="1"/>
    </xf>
    <xf numFmtId="0" fontId="14" fillId="0" borderId="5" xfId="0" applyFont="1" applyBorder="1" applyAlignment="1">
      <alignment horizontal="right" wrapText="1" shrinkToFit="1"/>
    </xf>
    <xf numFmtId="0" fontId="10" fillId="0" borderId="5" xfId="0" applyFont="1" applyBorder="1" applyAlignment="1">
      <alignment shrinkToFit="1"/>
    </xf>
    <xf numFmtId="0" fontId="10" fillId="0" borderId="5" xfId="0" applyFont="1" applyBorder="1" applyAlignment="1">
      <alignment wrapText="1" shrinkToFit="1"/>
    </xf>
    <xf numFmtId="2" fontId="10" fillId="0" borderId="5" xfId="0" applyNumberFormat="1" applyFont="1" applyBorder="1" applyAlignment="1">
      <alignment shrinkToFit="1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right" shrinkToFit="1"/>
    </xf>
    <xf numFmtId="2" fontId="13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2" fontId="10" fillId="0" borderId="0" xfId="0" applyNumberFormat="1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mpanichenko\&#1056;&#1072;&#1073;&#1086;&#1095;&#1080;&#1081;%20&#1089;&#1090;&#1086;&#1083;\&#1083;&#1102;&#1076;&#1072;\&#1055;&#1077;&#1088;&#1093;&#1091;&#1096;&#1082;&#1086;&#1074;&#1086;\&#1057;&#1084;&#1077;&#1090;&#1099;\&#1054;&#1073;&#1088;&#1072;&#1090;&#1085;&#1072;&#1103;%20&#1079;&#1072;&#1089;&#1099;&#1087;&#1082;&#1072;%20&#1087;&#1072;&#1079;&#1091;&#109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mpanichenko\&#1056;&#1072;&#1073;&#1086;&#1095;&#1080;&#1081;%20&#1089;&#1090;&#1086;&#1083;\&#1083;&#1102;&#1076;&#1072;\&#1055;&#1077;&#1088;&#1093;&#1091;&#1096;&#1082;&#1086;&#1074;&#1086;\&#1057;&#1084;&#1077;&#1090;&#1099;\&#1052;&#1086;&#1085;&#1090;&#1072;&#1078;%20&#1087;&#1086;&#1076;&#1082;&#1088;&#1072;&#1085;&#1086;&#1074;&#1099;&#1093;%20&#1087;&#1091;&#1090;&#1077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mpanichenko\&#1056;&#1072;&#1073;&#1086;&#1095;&#1080;&#1081;%20&#1089;&#1090;&#1086;&#1083;\&#1083;&#1102;&#1076;&#1072;\&#1055;&#1077;&#1088;&#1093;&#1091;&#1096;&#1082;&#1086;&#1074;&#1086;\&#1057;&#1084;&#1077;&#1090;&#1099;\&#1048;&#1085;&#1078;&#1077;&#1085;&#1077;&#1088;&#1085;&#1099;&#1077;%20&#1089;&#1077;&#1090;&#1080;\&#1059;&#1089;&#1090;&#1088;&#1086;&#1081;&#1089;&#1090;&#1074;&#1086;%20&#1085;&#1072;&#1088;&#1091;&#1078;&#1085;&#1099;&#1093;%20&#1089;&#1077;&#1090;&#1077;&#1081;%20&#1082;&#1072;&#1085;&#1072;&#1083;&#1080;&#1079;&#1072;&#1094;&#1080;&#1080;%20&#1080;&#1079;%20&#1090;&#1088;&#1091;&#1073;%20&#1044;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ource"/>
      <sheetName val="SmtRes"/>
      <sheetName val="ClcRes"/>
    </sheetNames>
    <sheetDataSet>
      <sheetData sheetId="1">
        <row r="1">
          <cell r="B1" t="str">
            <v>Smeta.ru  (095) 974-1589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ource"/>
      <sheetName val="SmtRes"/>
      <sheetName val="Clc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ource"/>
      <sheetName val="SmtRes"/>
      <sheetName val="Clc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40.7109375" style="0" customWidth="1"/>
    <col min="6" max="6" width="9.57421875" style="0" bestFit="1" customWidth="1"/>
    <col min="7" max="7" width="11.28125" style="0" customWidth="1"/>
    <col min="8" max="8" width="12.140625" style="0" bestFit="1" customWidth="1"/>
    <col min="10" max="10" width="10.140625" style="0" customWidth="1"/>
    <col min="11" max="11" width="13.57421875" style="0" bestFit="1" customWidth="1"/>
    <col min="12" max="12" width="9.28125" style="0" bestFit="1" customWidth="1"/>
    <col min="13" max="23" width="0" style="0" hidden="1" customWidth="1"/>
  </cols>
  <sheetData>
    <row r="1" s="5" customFormat="1" ht="11.25">
      <c r="A1" s="5" t="str">
        <f>'[1]Source'!B1</f>
        <v>Smeta.ru  (095) 974-1589</v>
      </c>
    </row>
    <row r="2" s="5" customFormat="1" ht="11.25" hidden="1">
      <c r="A2" s="5" t="str">
        <f>Source!B1</f>
        <v>Smeta.ru  (095) 974-1589</v>
      </c>
    </row>
    <row r="3" ht="12.75" hidden="1"/>
    <row r="4" ht="12.75" hidden="1"/>
    <row r="5" ht="12.75" hidden="1"/>
    <row r="6" spans="1:12" ht="20.25" hidden="1">
      <c r="A6" s="44" t="str">
        <f>IF(Source!G4&lt;&gt;"",Source!G4,IF(Source!F4&lt;&gt;"",Source!F4,IF(Source!G5&lt;&gt;"",Source!G5,IF(Source!F5&lt;&gt;"",Source!F5,IF(Source!G6&lt;&gt;"",Source!G6,IF(Source!F6&lt;&gt;"",Source!F6," "))))))</f>
        <v> 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2.75" hidden="1">
      <c r="A7" s="45" t="s">
        <v>276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ht="12.75" hidden="1"/>
    <row r="9" spans="7:12" ht="13.5" hidden="1">
      <c r="G9" s="47" t="s">
        <v>277</v>
      </c>
      <c r="H9" s="48"/>
      <c r="I9" s="49" t="str">
        <f>Source!F12</f>
        <v>Новый объект</v>
      </c>
      <c r="J9" s="50"/>
      <c r="K9" s="50"/>
      <c r="L9" s="50"/>
    </row>
    <row r="10" ht="12.75" hidden="1"/>
    <row r="11" spans="1:12" ht="12.75">
      <c r="A11" s="60" t="s">
        <v>341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4" spans="1:12" ht="18.75">
      <c r="A14" s="4" t="s">
        <v>278</v>
      </c>
      <c r="B14" s="62" t="str">
        <f>IF(Source!G12&lt;&gt;"",Source!G12,Source!F12)</f>
        <v>Устройство временной дороги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2:12" ht="12.75">
      <c r="B15" s="45" t="s">
        <v>279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ht="12.75" hidden="1"/>
    <row r="17" spans="1:12" ht="15" hidden="1">
      <c r="A17" s="49" t="str">
        <f>CONCATENATE("Основание: ",Source!J12)</f>
        <v>Основание: 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ht="12.75" hidden="1"/>
    <row r="19" spans="5:10" ht="12.75">
      <c r="E19" s="4"/>
      <c r="F19" s="4"/>
      <c r="G19" s="4"/>
      <c r="H19" s="4"/>
      <c r="I19" s="4"/>
      <c r="J19" s="4"/>
    </row>
    <row r="20" spans="5:10" ht="12.75">
      <c r="E20" s="7"/>
      <c r="F20" s="7"/>
      <c r="G20" s="59" t="s">
        <v>280</v>
      </c>
      <c r="H20" s="59"/>
      <c r="I20" s="59" t="s">
        <v>281</v>
      </c>
      <c r="J20" s="59"/>
    </row>
    <row r="21" spans="3:12" ht="15.75">
      <c r="C21" s="55" t="s">
        <v>282</v>
      </c>
      <c r="D21" s="55"/>
      <c r="E21" s="55"/>
      <c r="F21" s="55"/>
      <c r="G21" s="56">
        <f>G86/1000</f>
        <v>72.38179176066896</v>
      </c>
      <c r="H21" s="56"/>
      <c r="I21" s="56">
        <f>(Source!F57/1000)</f>
        <v>615.03822</v>
      </c>
      <c r="J21" s="56"/>
      <c r="K21" s="57" t="s">
        <v>283</v>
      </c>
      <c r="L21" s="57"/>
    </row>
    <row r="22" spans="3:12" ht="15">
      <c r="C22" s="58" t="s">
        <v>284</v>
      </c>
      <c r="D22" s="58"/>
      <c r="E22" s="58"/>
      <c r="F22" s="58"/>
      <c r="G22" s="56">
        <f>O86/1000</f>
        <v>72.38179176066896</v>
      </c>
      <c r="H22" s="56"/>
      <c r="I22" s="56">
        <f>S86/1000</f>
        <v>515.0383500000003</v>
      </c>
      <c r="J22" s="56"/>
      <c r="K22" s="57" t="s">
        <v>283</v>
      </c>
      <c r="L22" s="57"/>
    </row>
    <row r="23" spans="3:12" ht="15">
      <c r="C23" s="58" t="s">
        <v>285</v>
      </c>
      <c r="D23" s="58"/>
      <c r="E23" s="58"/>
      <c r="F23" s="58"/>
      <c r="G23" s="56">
        <f>P86/1000</f>
        <v>0</v>
      </c>
      <c r="H23" s="56"/>
      <c r="I23" s="56">
        <f>T86/1000</f>
        <v>0</v>
      </c>
      <c r="J23" s="56"/>
      <c r="K23" s="57" t="s">
        <v>283</v>
      </c>
      <c r="L23" s="57"/>
    </row>
    <row r="24" spans="3:12" ht="15">
      <c r="C24" s="58" t="s">
        <v>286</v>
      </c>
      <c r="D24" s="58"/>
      <c r="E24" s="58"/>
      <c r="F24" s="58"/>
      <c r="G24" s="56">
        <f>Q86/1000</f>
        <v>0</v>
      </c>
      <c r="H24" s="56"/>
      <c r="I24" s="56">
        <f>U86/1000</f>
        <v>0</v>
      </c>
      <c r="J24" s="56"/>
      <c r="K24" s="57" t="s">
        <v>283</v>
      </c>
      <c r="L24" s="57"/>
    </row>
    <row r="25" spans="3:12" ht="15">
      <c r="C25" s="58" t="s">
        <v>287</v>
      </c>
      <c r="D25" s="58"/>
      <c r="E25" s="58"/>
      <c r="F25" s="58"/>
      <c r="G25" s="56">
        <f>R86/1000</f>
        <v>0</v>
      </c>
      <c r="H25" s="56"/>
      <c r="I25" s="56">
        <f>V86/1000</f>
        <v>0</v>
      </c>
      <c r="J25" s="56"/>
      <c r="K25" s="57" t="s">
        <v>283</v>
      </c>
      <c r="L25" s="57"/>
    </row>
    <row r="26" spans="3:12" ht="15.75">
      <c r="C26" s="55" t="s">
        <v>288</v>
      </c>
      <c r="D26" s="55"/>
      <c r="E26" s="55"/>
      <c r="F26" s="55"/>
      <c r="G26" s="56">
        <f>(Source!F41)</f>
        <v>253.74</v>
      </c>
      <c r="H26" s="56"/>
      <c r="I26" s="56">
        <f>(Source!F41)</f>
        <v>253.74</v>
      </c>
      <c r="J26" s="56"/>
      <c r="K26" s="57" t="s">
        <v>239</v>
      </c>
      <c r="L26" s="57"/>
    </row>
    <row r="27" spans="3:12" ht="15.75">
      <c r="C27" s="55" t="s">
        <v>289</v>
      </c>
      <c r="D27" s="55"/>
      <c r="E27" s="55"/>
      <c r="F27" s="55"/>
      <c r="G27" s="56">
        <f>(N86+W86)/1000</f>
        <v>3.1489635535307516</v>
      </c>
      <c r="H27" s="56"/>
      <c r="I27" s="56">
        <f>((Source!F51+Source!F38)/1000)</f>
        <v>36.79917</v>
      </c>
      <c r="J27" s="56"/>
      <c r="K27" s="57" t="s">
        <v>283</v>
      </c>
      <c r="L27" s="57"/>
    </row>
    <row r="29" spans="1:6" ht="12.75">
      <c r="A29" s="31" t="s">
        <v>290</v>
      </c>
      <c r="B29" s="31"/>
      <c r="C29" s="31"/>
      <c r="D29" s="4"/>
      <c r="E29" s="4"/>
      <c r="F29" s="4"/>
    </row>
    <row r="30" spans="1:12" ht="15">
      <c r="A30" s="10"/>
      <c r="B30" s="10"/>
      <c r="C30" s="10"/>
      <c r="D30" s="10"/>
      <c r="E30" s="10"/>
      <c r="F30" s="11" t="s">
        <v>303</v>
      </c>
      <c r="G30" s="11" t="s">
        <v>307</v>
      </c>
      <c r="H30" s="11" t="s">
        <v>311</v>
      </c>
      <c r="I30" s="11" t="s">
        <v>315</v>
      </c>
      <c r="J30" s="11" t="s">
        <v>319</v>
      </c>
      <c r="K30" s="11" t="s">
        <v>311</v>
      </c>
      <c r="L30" s="11" t="s">
        <v>323</v>
      </c>
    </row>
    <row r="31" spans="1:12" ht="15">
      <c r="A31" s="12" t="s">
        <v>291</v>
      </c>
      <c r="B31" s="12" t="s">
        <v>293</v>
      </c>
      <c r="C31" s="13"/>
      <c r="D31" s="12" t="s">
        <v>298</v>
      </c>
      <c r="E31" s="12" t="s">
        <v>301</v>
      </c>
      <c r="F31" s="12" t="s">
        <v>304</v>
      </c>
      <c r="G31" s="12" t="s">
        <v>308</v>
      </c>
      <c r="H31" s="12" t="s">
        <v>312</v>
      </c>
      <c r="I31" s="12" t="s">
        <v>316</v>
      </c>
      <c r="J31" s="12" t="s">
        <v>310</v>
      </c>
      <c r="K31" s="12" t="s">
        <v>320</v>
      </c>
      <c r="L31" s="12" t="s">
        <v>324</v>
      </c>
    </row>
    <row r="32" spans="1:12" ht="15">
      <c r="A32" s="12" t="s">
        <v>292</v>
      </c>
      <c r="B32" s="12" t="s">
        <v>294</v>
      </c>
      <c r="C32" s="12" t="s">
        <v>297</v>
      </c>
      <c r="D32" s="12" t="s">
        <v>299</v>
      </c>
      <c r="E32" s="12" t="s">
        <v>302</v>
      </c>
      <c r="F32" s="12" t="s">
        <v>305</v>
      </c>
      <c r="G32" s="12" t="s">
        <v>309</v>
      </c>
      <c r="H32" s="12" t="s">
        <v>313</v>
      </c>
      <c r="I32" s="12" t="s">
        <v>317</v>
      </c>
      <c r="J32" s="12" t="s">
        <v>317</v>
      </c>
      <c r="K32" s="12" t="s">
        <v>321</v>
      </c>
      <c r="L32" s="12" t="s">
        <v>325</v>
      </c>
    </row>
    <row r="33" spans="1:12" ht="15">
      <c r="A33" s="13"/>
      <c r="B33" s="12" t="s">
        <v>295</v>
      </c>
      <c r="C33" s="13"/>
      <c r="D33" s="12" t="s">
        <v>300</v>
      </c>
      <c r="E33" s="13"/>
      <c r="F33" s="12" t="s">
        <v>306</v>
      </c>
      <c r="G33" s="12" t="s">
        <v>310</v>
      </c>
      <c r="H33" s="12" t="s">
        <v>314</v>
      </c>
      <c r="I33" s="12" t="s">
        <v>318</v>
      </c>
      <c r="J33" s="12" t="s">
        <v>318</v>
      </c>
      <c r="K33" s="12" t="s">
        <v>322</v>
      </c>
      <c r="L33" s="12"/>
    </row>
    <row r="34" spans="1:12" ht="15">
      <c r="A34" s="14"/>
      <c r="B34" s="15" t="s">
        <v>296</v>
      </c>
      <c r="C34" s="14"/>
      <c r="D34" s="14"/>
      <c r="E34" s="14"/>
      <c r="F34" s="14"/>
      <c r="G34" s="15"/>
      <c r="H34" s="15"/>
      <c r="I34" s="15"/>
      <c r="J34" s="15"/>
      <c r="K34" s="15"/>
      <c r="L34" s="15"/>
    </row>
    <row r="35" spans="1:12" ht="15">
      <c r="A35" s="16">
        <v>1</v>
      </c>
      <c r="B35" s="16">
        <v>2</v>
      </c>
      <c r="C35" s="16">
        <v>3</v>
      </c>
      <c r="D35" s="16">
        <v>4</v>
      </c>
      <c r="E35" s="16">
        <v>5</v>
      </c>
      <c r="F35" s="16">
        <v>6</v>
      </c>
      <c r="G35" s="16">
        <v>7</v>
      </c>
      <c r="H35" s="16">
        <v>8</v>
      </c>
      <c r="I35" s="16">
        <v>9</v>
      </c>
      <c r="J35" s="16">
        <v>10</v>
      </c>
      <c r="K35" s="16">
        <v>11</v>
      </c>
      <c r="L35" s="16">
        <v>12</v>
      </c>
    </row>
    <row r="36" spans="1:12" ht="45">
      <c r="A36" s="17" t="str">
        <f>Source!E24</f>
        <v>1</v>
      </c>
      <c r="B36" s="17" t="str">
        <f>Source!F24</f>
        <v>01-01-036-1</v>
      </c>
      <c r="C36" s="18" t="str">
        <f>Source!G24</f>
        <v>Планировка площадей бульдозерами мощностью 59 (80) кВт (л.с.)</v>
      </c>
      <c r="D36" s="19" t="str">
        <f>Source!H24</f>
        <v>1000 м2</v>
      </c>
      <c r="E36" s="8">
        <f>ROUND(Source!I24,6)</f>
        <v>1.675</v>
      </c>
      <c r="F36" s="8">
        <f>IF(Source!AK24&lt;&gt;0,Source!AK24,Source!AL24+Source!AM24+Source!AO24)</f>
        <v>23.29</v>
      </c>
      <c r="G36" s="8"/>
      <c r="H36" s="8"/>
      <c r="I36" s="8"/>
      <c r="J36" s="8"/>
      <c r="K36" s="8"/>
      <c r="L36" s="8"/>
    </row>
    <row r="37" spans="1:12" ht="15">
      <c r="A37" s="6"/>
      <c r="B37" s="6"/>
      <c r="C37" s="6" t="s">
        <v>61</v>
      </c>
      <c r="D37" s="6"/>
      <c r="E37" s="6"/>
      <c r="F37" s="6">
        <f>Source!AM24</f>
        <v>23.29</v>
      </c>
      <c r="G37" s="20">
        <f>Source!DE24</f>
      </c>
      <c r="H37" s="21">
        <f>IF(Source!BB24&lt;&gt;0,Source!Q24/Source!BB24,Source!Q24)</f>
        <v>39.01081081081081</v>
      </c>
      <c r="I37" s="6" t="str">
        <f>IF(Source!BO24&lt;&gt;"",Source!BO24,"")</f>
        <v>01-01-036-1</v>
      </c>
      <c r="J37" s="6">
        <f>Source!BB24</f>
        <v>5.55</v>
      </c>
      <c r="K37" s="21">
        <f>Source!Q24</f>
        <v>216.51</v>
      </c>
      <c r="L37" s="6"/>
    </row>
    <row r="38" spans="1:12" ht="15">
      <c r="A38" s="6"/>
      <c r="B38" s="6"/>
      <c r="C38" s="6" t="s">
        <v>326</v>
      </c>
      <c r="D38" s="6"/>
      <c r="E38" s="6"/>
      <c r="F38" s="6">
        <f>Source!AN24</f>
        <v>5.13</v>
      </c>
      <c r="G38" s="20">
        <f>Source!DF24</f>
      </c>
      <c r="H38" s="22">
        <f>IF(Source!BS24&lt;&gt;0,Source!R24/Source!BS24,Source!R24)</f>
        <v>8.592255125284739</v>
      </c>
      <c r="I38" s="6"/>
      <c r="J38" s="6">
        <f>Source!BS24</f>
        <v>8.78</v>
      </c>
      <c r="K38" s="9">
        <f>Source!R24</f>
        <v>75.44</v>
      </c>
      <c r="L38" s="6"/>
    </row>
    <row r="39" spans="1:12" ht="15">
      <c r="A39" s="6"/>
      <c r="B39" s="6"/>
      <c r="C39" s="6" t="s">
        <v>327</v>
      </c>
      <c r="D39" s="9" t="s">
        <v>328</v>
      </c>
      <c r="E39" s="6"/>
      <c r="F39" s="6">
        <f>Source!AT24</f>
        <v>89.3</v>
      </c>
      <c r="G39" s="6"/>
      <c r="H39" s="21">
        <f>(F39/100)*((Source!S24/IF(Source!BA24&lt;&gt;0,Source!BA24,1))+(Source!R24/IF(Source!BS24&lt;&gt;0,Source!BS24,1)))</f>
        <v>7.672883826879272</v>
      </c>
      <c r="I39" s="6"/>
      <c r="J39" s="6">
        <f>Source!AT24</f>
        <v>89.3</v>
      </c>
      <c r="K39" s="21">
        <f>Source!X24</f>
        <v>67.37</v>
      </c>
      <c r="L39" s="6"/>
    </row>
    <row r="40" spans="1:12" ht="15">
      <c r="A40" s="24"/>
      <c r="B40" s="24"/>
      <c r="C40" s="24" t="s">
        <v>329</v>
      </c>
      <c r="D40" s="25" t="s">
        <v>328</v>
      </c>
      <c r="E40" s="24"/>
      <c r="F40" s="24">
        <f>Source!AU24</f>
        <v>50</v>
      </c>
      <c r="G40" s="24"/>
      <c r="H40" s="26">
        <f>(F40/100)*((Source!S24/IF(Source!BA24&lt;&gt;0,Source!BA24,1))+(Source!R24/IF(Source!BS24&lt;&gt;0,Source!BS24,1)))</f>
        <v>4.296127562642369</v>
      </c>
      <c r="I40" s="24"/>
      <c r="J40" s="24">
        <f>Source!AU24</f>
        <v>50</v>
      </c>
      <c r="K40" s="26">
        <f>Source!Y24</f>
        <v>37.72</v>
      </c>
      <c r="L40" s="24"/>
    </row>
    <row r="41" spans="1:23" ht="15.75">
      <c r="A41" s="6"/>
      <c r="B41" s="6"/>
      <c r="C41" s="6"/>
      <c r="D41" s="6"/>
      <c r="E41" s="6"/>
      <c r="F41" s="6"/>
      <c r="G41" s="6"/>
      <c r="H41" s="27">
        <f>IF(Source!BA24&lt;&gt;0,Source!S24/Source!BA24,Source!S24)+IF(Source!BB24&lt;&gt;0,Source!Q24/Source!BB24,Source!Q24)+H39+H40</f>
        <v>50.97982220033245</v>
      </c>
      <c r="I41" s="28"/>
      <c r="J41" s="28"/>
      <c r="K41" s="27">
        <f>Source!S24+Source!Q24+K39+K40</f>
        <v>321.6</v>
      </c>
      <c r="L41" s="28">
        <f>Source!U24</f>
        <v>0</v>
      </c>
      <c r="M41" s="23">
        <f>H41</f>
        <v>50.97982220033245</v>
      </c>
      <c r="N41">
        <f>IF(Source!BA24&lt;&gt;0,Source!S24/Source!BA24,Source!S24)</f>
        <v>0</v>
      </c>
      <c r="O41">
        <f>IF(Source!BI24=1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50.97982220033245</v>
      </c>
      <c r="P41">
        <f>IF(Source!BI24=2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0</v>
      </c>
      <c r="Q41">
        <f>IF(Source!BI24=3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0</v>
      </c>
      <c r="R41">
        <f>IF(Source!BI24=4,(IF(Source!BA24&lt;&gt;0,Source!S24/Source!BA24,Source!S24)+IF(Source!BB24&lt;&gt;0,Source!Q24/Source!BB24,Source!Q24)+IF(Source!BC24&lt;&gt;0,Source!P24/Source!BC24,Source!P24)+((Source!AT24/100)*((Source!S24/IF(Source!BA24&lt;&gt;0,Source!BA24,1))+(Source!R24/IF(Source!BS24&lt;&gt;0,Source!BS24,1))))+((Source!AU24/100)*((Source!S24/IF(Source!BA24&lt;&gt;0,Source!BA24,1))+(Source!R24/IF(Source!BS24&lt;&gt;0,Source!BS24,1))))),0)</f>
        <v>0</v>
      </c>
      <c r="S41">
        <f>IF(Source!BI24=1,Source!O24+Source!X24+Source!Y24,0)</f>
        <v>321.6</v>
      </c>
      <c r="T41">
        <f>IF(Source!BI24=2,Source!O24+Source!X24+Source!Y24,0)</f>
        <v>0</v>
      </c>
      <c r="U41">
        <f>IF(Source!BI24=3,Source!O24+Source!X24+Source!Y24,0)</f>
        <v>0</v>
      </c>
      <c r="V41">
        <f>IF(Source!BI24=4,Source!O24+Source!X24+Source!Y24,0)</f>
        <v>0</v>
      </c>
      <c r="W41">
        <f>IF(Source!BS24&lt;&gt;0,Source!R24/Source!BS24,Source!R24)</f>
        <v>8.592255125284739</v>
      </c>
    </row>
    <row r="42" spans="1:12" ht="45">
      <c r="A42" s="17" t="str">
        <f>Source!E25</f>
        <v>2</v>
      </c>
      <c r="B42" s="17" t="str">
        <f>Source!F25</f>
        <v>27-04-001-1</v>
      </c>
      <c r="C42" s="18" t="str">
        <f>Source!G25</f>
        <v>Устройство подстилающих и выравнивающих слоев оснований: из песка</v>
      </c>
      <c r="D42" s="19" t="str">
        <f>Source!H25</f>
        <v>100 м3</v>
      </c>
      <c r="E42" s="8">
        <f>ROUND(Source!I25,6)</f>
        <v>1.675</v>
      </c>
      <c r="F42" s="8">
        <f>IF(Source!AK25&lt;&gt;0,Source!AK25,Source!AL25+Source!AM25+Source!AO25)</f>
        <v>8880.93</v>
      </c>
      <c r="G42" s="8"/>
      <c r="H42" s="8"/>
      <c r="I42" s="8"/>
      <c r="J42" s="8"/>
      <c r="K42" s="8"/>
      <c r="L42" s="8"/>
    </row>
    <row r="43" spans="1:12" ht="15">
      <c r="A43" s="6"/>
      <c r="B43" s="6"/>
      <c r="C43" s="6" t="s">
        <v>330</v>
      </c>
      <c r="D43" s="6"/>
      <c r="E43" s="6"/>
      <c r="F43" s="6">
        <f>Source!AO25</f>
        <v>126.07</v>
      </c>
      <c r="G43" s="20">
        <f>Source!DG25</f>
      </c>
      <c r="H43" s="21">
        <f>IF(Source!BA25&lt;&gt;0,Source!S25/Source!BA25,Source!S25)</f>
        <v>211.16742596810934</v>
      </c>
      <c r="I43" s="6" t="str">
        <f>IF(Source!BO25&lt;&gt;"",Source!BO25,"")</f>
        <v>27-04-001-1</v>
      </c>
      <c r="J43" s="6">
        <f>Source!BA25</f>
        <v>8.78</v>
      </c>
      <c r="K43" s="21">
        <f>Source!S25</f>
        <v>1854.05</v>
      </c>
      <c r="L43" s="6"/>
    </row>
    <row r="44" spans="1:12" ht="15">
      <c r="A44" s="6"/>
      <c r="B44" s="6"/>
      <c r="C44" s="6" t="s">
        <v>61</v>
      </c>
      <c r="D44" s="6"/>
      <c r="E44" s="6"/>
      <c r="F44" s="6">
        <f>Source!AM25</f>
        <v>2143.76</v>
      </c>
      <c r="G44" s="20">
        <f>Source!DE25</f>
      </c>
      <c r="H44" s="21">
        <f>IF(Source!BB25&lt;&gt;0,Source!Q25/Source!BB25,Source!Q25)</f>
        <v>3590.798429319372</v>
      </c>
      <c r="I44" s="6"/>
      <c r="J44" s="6">
        <f>Source!BB25</f>
        <v>3.82</v>
      </c>
      <c r="K44" s="21">
        <f>Source!Q25</f>
        <v>13716.85</v>
      </c>
      <c r="L44" s="6"/>
    </row>
    <row r="45" spans="1:12" ht="15">
      <c r="A45" s="6"/>
      <c r="B45" s="6"/>
      <c r="C45" s="6" t="s">
        <v>326</v>
      </c>
      <c r="D45" s="6"/>
      <c r="E45" s="6"/>
      <c r="F45" s="6">
        <f>Source!AN25</f>
        <v>177.59</v>
      </c>
      <c r="G45" s="20">
        <f>Source!DF25</f>
      </c>
      <c r="H45" s="22">
        <f>IF(Source!BS25&lt;&gt;0,Source!R25/Source!BS25,Source!R25)</f>
        <v>297.4635535307517</v>
      </c>
      <c r="I45" s="6"/>
      <c r="J45" s="6">
        <f>Source!BS25</f>
        <v>8.78</v>
      </c>
      <c r="K45" s="9">
        <f>Source!R25</f>
        <v>2611.73</v>
      </c>
      <c r="L45" s="6"/>
    </row>
    <row r="46" spans="1:12" ht="15">
      <c r="A46" s="6"/>
      <c r="B46" s="6"/>
      <c r="C46" s="6" t="s">
        <v>331</v>
      </c>
      <c r="D46" s="6"/>
      <c r="E46" s="6"/>
      <c r="F46" s="6">
        <f>Source!AL25</f>
        <v>6611.1</v>
      </c>
      <c r="G46" s="20">
        <f>Source!DD25</f>
      </c>
      <c r="H46" s="21">
        <f>IF(Source!BC25&lt;&gt;0,Source!P25/Source!BC25,Source!P25)</f>
        <v>11073.592647058822</v>
      </c>
      <c r="I46" s="6"/>
      <c r="J46" s="6">
        <f>Source!BC25</f>
        <v>6.8</v>
      </c>
      <c r="K46" s="21">
        <f>Source!P25</f>
        <v>75300.43</v>
      </c>
      <c r="L46" s="6"/>
    </row>
    <row r="47" spans="1:12" ht="15">
      <c r="A47" s="6"/>
      <c r="B47" s="6"/>
      <c r="C47" s="6" t="s">
        <v>327</v>
      </c>
      <c r="D47" s="9" t="s">
        <v>328</v>
      </c>
      <c r="E47" s="6"/>
      <c r="F47" s="6">
        <f>Source!AT25</f>
        <v>133.48</v>
      </c>
      <c r="G47" s="6"/>
      <c r="H47" s="21">
        <f>(F47/100)*((Source!S25/IF(Source!BA25&lt;&gt;0,Source!BA25,1))+(Source!R25/IF(Source!BS25&lt;&gt;0,Source!BS25,1)))</f>
        <v>678.9206314350797</v>
      </c>
      <c r="I47" s="6"/>
      <c r="J47" s="6">
        <f>Source!AT25</f>
        <v>133.48</v>
      </c>
      <c r="K47" s="21">
        <f>Source!X25</f>
        <v>5960.92</v>
      </c>
      <c r="L47" s="6"/>
    </row>
    <row r="48" spans="1:12" ht="15">
      <c r="A48" s="6"/>
      <c r="B48" s="6"/>
      <c r="C48" s="6" t="s">
        <v>329</v>
      </c>
      <c r="D48" s="9" t="s">
        <v>328</v>
      </c>
      <c r="E48" s="6"/>
      <c r="F48" s="6">
        <f>Source!AU25</f>
        <v>95</v>
      </c>
      <c r="G48" s="6"/>
      <c r="H48" s="21">
        <f>(F48/100)*((Source!S25/IF(Source!BA25&lt;&gt;0,Source!BA25,1))+(Source!R25/IF(Source!BS25&lt;&gt;0,Source!BS25,1)))</f>
        <v>483.19943052391795</v>
      </c>
      <c r="I48" s="6"/>
      <c r="J48" s="6">
        <f>Source!AU25</f>
        <v>95</v>
      </c>
      <c r="K48" s="21">
        <f>Source!Y25</f>
        <v>4242.49</v>
      </c>
      <c r="L48" s="6"/>
    </row>
    <row r="49" spans="1:12" ht="15">
      <c r="A49" s="24"/>
      <c r="B49" s="24"/>
      <c r="C49" s="24" t="s">
        <v>332</v>
      </c>
      <c r="D49" s="25" t="s">
        <v>333</v>
      </c>
      <c r="E49" s="24">
        <f>Source!AQ25</f>
        <v>15.72</v>
      </c>
      <c r="F49" s="24"/>
      <c r="G49" s="32">
        <f>Source!DI25</f>
      </c>
      <c r="H49" s="24"/>
      <c r="I49" s="24"/>
      <c r="J49" s="24"/>
      <c r="K49" s="24"/>
      <c r="L49" s="24">
        <f>Source!U25</f>
        <v>26.33</v>
      </c>
    </row>
    <row r="50" spans="1:23" ht="15.75">
      <c r="A50" s="6"/>
      <c r="B50" s="6"/>
      <c r="C50" s="6"/>
      <c r="D50" s="6"/>
      <c r="E50" s="6"/>
      <c r="F50" s="6"/>
      <c r="G50" s="6"/>
      <c r="H50" s="27">
        <f>IF(Source!BA25&lt;&gt;0,Source!S25/Source!BA25,Source!S25)+IF(Source!BB25&lt;&gt;0,Source!Q25/Source!BB25,Source!Q25)+H46+H47+H48</f>
        <v>16037.6785643053</v>
      </c>
      <c r="I50" s="28"/>
      <c r="J50" s="28"/>
      <c r="K50" s="27">
        <f>Source!S25+Source!Q25+K46+K47+K48</f>
        <v>101074.73999999999</v>
      </c>
      <c r="L50" s="28">
        <f>Source!U25</f>
        <v>26.33</v>
      </c>
      <c r="M50" s="23">
        <f>H50</f>
        <v>16037.6785643053</v>
      </c>
      <c r="N50">
        <f>IF(Source!BA25&lt;&gt;0,Source!S25/Source!BA25,Source!S25)</f>
        <v>211.16742596810934</v>
      </c>
      <c r="O50">
        <f>IF(Source!BI25=1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16037.6785643053</v>
      </c>
      <c r="P50">
        <f>IF(Source!BI25=2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0</v>
      </c>
      <c r="Q50">
        <f>IF(Source!BI25=3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0</v>
      </c>
      <c r="R50">
        <f>IF(Source!BI25=4,(IF(Source!BA25&lt;&gt;0,Source!S25/Source!BA25,Source!S25)+IF(Source!BB25&lt;&gt;0,Source!Q25/Source!BB25,Source!Q25)+IF(Source!BC25&lt;&gt;0,Source!P25/Source!BC25,Source!P25)+((Source!AT25/100)*((Source!S25/IF(Source!BA25&lt;&gt;0,Source!BA25,1))+(Source!R25/IF(Source!BS25&lt;&gt;0,Source!BS25,1))))+((Source!AU25/100)*((Source!S25/IF(Source!BA25&lt;&gt;0,Source!BA25,1))+(Source!R25/IF(Source!BS25&lt;&gt;0,Source!BS25,1))))),0)</f>
        <v>0</v>
      </c>
      <c r="S50">
        <f>IF(Source!BI25=1,Source!O25+Source!X25+Source!Y25,0)</f>
        <v>101074.74</v>
      </c>
      <c r="T50">
        <f>IF(Source!BI25=2,Source!O25+Source!X25+Source!Y25,0)</f>
        <v>0</v>
      </c>
      <c r="U50">
        <f>IF(Source!BI25=3,Source!O25+Source!X25+Source!Y25,0)</f>
        <v>0</v>
      </c>
      <c r="V50">
        <f>IF(Source!BI25=4,Source!O25+Source!X25+Source!Y25,0)</f>
        <v>0</v>
      </c>
      <c r="W50">
        <f>IF(Source!BS25&lt;&gt;0,Source!R25/Source!BS25,Source!R25)</f>
        <v>297.4635535307517</v>
      </c>
    </row>
    <row r="51" spans="1:12" ht="45">
      <c r="A51" s="17" t="str">
        <f>Source!E26</f>
        <v>3</v>
      </c>
      <c r="B51" s="17" t="str">
        <f>Source!F26</f>
        <v>27-12-010-4</v>
      </c>
      <c r="C51" s="18" t="str">
        <f>Source!G26</f>
        <v>Разборка дорог из сборных железобетонных плит площадью: более 3 м2</v>
      </c>
      <c r="D51" s="19" t="str">
        <f>Source!H26</f>
        <v>100 м3</v>
      </c>
      <c r="E51" s="8">
        <f>ROUND(Source!I26,6)</f>
        <v>1.9</v>
      </c>
      <c r="F51" s="8">
        <f>IF(Source!AK26&lt;&gt;0,Source!AK26,Source!AL26+Source!AM26+Source!AO26)</f>
        <v>1957.67</v>
      </c>
      <c r="G51" s="8"/>
      <c r="H51" s="8"/>
      <c r="I51" s="8"/>
      <c r="J51" s="8"/>
      <c r="K51" s="8"/>
      <c r="L51" s="8"/>
    </row>
    <row r="52" spans="1:12" ht="15">
      <c r="A52" s="6"/>
      <c r="B52" s="6"/>
      <c r="C52" s="6" t="s">
        <v>330</v>
      </c>
      <c r="D52" s="6"/>
      <c r="E52" s="6"/>
      <c r="F52" s="6">
        <f>Source!AO26</f>
        <v>315.26</v>
      </c>
      <c r="G52" s="20">
        <f>Source!DG26</f>
      </c>
      <c r="H52" s="21">
        <f>IF(Source!BA26&lt;&gt;0,Source!S26/Source!BA26,Source!S26)</f>
        <v>598.99430523918</v>
      </c>
      <c r="I52" s="6" t="str">
        <f>IF(Source!BO26&lt;&gt;"",Source!BO26,"")</f>
        <v>27-12-010-4</v>
      </c>
      <c r="J52" s="6">
        <f>Source!BA26</f>
        <v>8.78</v>
      </c>
      <c r="K52" s="21">
        <f>Source!S26</f>
        <v>5259.17</v>
      </c>
      <c r="L52" s="6"/>
    </row>
    <row r="53" spans="1:12" ht="15">
      <c r="A53" s="6"/>
      <c r="B53" s="6"/>
      <c r="C53" s="6" t="s">
        <v>61</v>
      </c>
      <c r="D53" s="6"/>
      <c r="E53" s="6"/>
      <c r="F53" s="6">
        <f>Source!AM26</f>
        <v>1642.41</v>
      </c>
      <c r="G53" s="20">
        <f>Source!DE26</f>
      </c>
      <c r="H53" s="21">
        <f>IF(Source!BB26&lt;&gt;0,Source!Q26/Source!BB26,Source!Q26)</f>
        <v>3120.579064587973</v>
      </c>
      <c r="I53" s="6"/>
      <c r="J53" s="6">
        <f>Source!BB26</f>
        <v>4.49</v>
      </c>
      <c r="K53" s="21">
        <f>Source!Q26</f>
        <v>14011.4</v>
      </c>
      <c r="L53" s="6"/>
    </row>
    <row r="54" spans="1:12" ht="15">
      <c r="A54" s="6"/>
      <c r="B54" s="6"/>
      <c r="C54" s="6" t="s">
        <v>326</v>
      </c>
      <c r="D54" s="6"/>
      <c r="E54" s="6"/>
      <c r="F54" s="6">
        <f>Source!AN26</f>
        <v>149.1</v>
      </c>
      <c r="G54" s="20">
        <f>Source!DF26</f>
      </c>
      <c r="H54" s="22">
        <f>IF(Source!BS26&lt;&gt;0,Source!R26/Source!BS26,Source!R26)</f>
        <v>283.29043280182236</v>
      </c>
      <c r="I54" s="6"/>
      <c r="J54" s="6">
        <f>Source!BS26</f>
        <v>8.78</v>
      </c>
      <c r="K54" s="9">
        <f>Source!R26</f>
        <v>2487.29</v>
      </c>
      <c r="L54" s="6"/>
    </row>
    <row r="55" spans="1:12" ht="15">
      <c r="A55" s="6"/>
      <c r="B55" s="6"/>
      <c r="C55" s="6" t="s">
        <v>327</v>
      </c>
      <c r="D55" s="9" t="s">
        <v>328</v>
      </c>
      <c r="E55" s="6"/>
      <c r="F55" s="6">
        <f>Source!AT26</f>
        <v>133.48</v>
      </c>
      <c r="G55" s="6"/>
      <c r="H55" s="21">
        <f>(F55/100)*((Source!S26/IF(Source!BA26&lt;&gt;0,Source!BA26,1))+(Source!R26/IF(Source!BS26&lt;&gt;0,Source!BS26,1)))</f>
        <v>1177.67366833713</v>
      </c>
      <c r="I55" s="6"/>
      <c r="J55" s="6">
        <f>Source!AT26</f>
        <v>133.48</v>
      </c>
      <c r="K55" s="21">
        <f>Source!X26</f>
        <v>10339.97</v>
      </c>
      <c r="L55" s="6"/>
    </row>
    <row r="56" spans="1:12" ht="15">
      <c r="A56" s="6"/>
      <c r="B56" s="6"/>
      <c r="C56" s="6" t="s">
        <v>329</v>
      </c>
      <c r="D56" s="9" t="s">
        <v>328</v>
      </c>
      <c r="E56" s="6"/>
      <c r="F56" s="6">
        <f>Source!AU26</f>
        <v>95</v>
      </c>
      <c r="G56" s="6"/>
      <c r="H56" s="21">
        <f>(F56/100)*((Source!S26/IF(Source!BA26&lt;&gt;0,Source!BA26,1))+(Source!R26/IF(Source!BS26&lt;&gt;0,Source!BS26,1)))</f>
        <v>838.1705011389522</v>
      </c>
      <c r="I56" s="6"/>
      <c r="J56" s="6">
        <f>Source!AU26</f>
        <v>95</v>
      </c>
      <c r="K56" s="21">
        <f>Source!Y26</f>
        <v>7359.14</v>
      </c>
      <c r="L56" s="6"/>
    </row>
    <row r="57" spans="1:12" ht="15">
      <c r="A57" s="24"/>
      <c r="B57" s="24"/>
      <c r="C57" s="24" t="s">
        <v>332</v>
      </c>
      <c r="D57" s="25" t="s">
        <v>333</v>
      </c>
      <c r="E57" s="24">
        <f>Source!AQ26</f>
        <v>38.26</v>
      </c>
      <c r="F57" s="24"/>
      <c r="G57" s="32">
        <f>Source!DI26</f>
      </c>
      <c r="H57" s="24"/>
      <c r="I57" s="24"/>
      <c r="J57" s="24"/>
      <c r="K57" s="24"/>
      <c r="L57" s="24">
        <f>Source!U26</f>
        <v>72.69</v>
      </c>
    </row>
    <row r="58" spans="1:23" ht="15.75">
      <c r="A58" s="6"/>
      <c r="B58" s="6"/>
      <c r="C58" s="6"/>
      <c r="D58" s="6"/>
      <c r="E58" s="6"/>
      <c r="F58" s="6"/>
      <c r="G58" s="6"/>
      <c r="H58" s="27">
        <f>IF(Source!BA26&lt;&gt;0,Source!S26/Source!BA26,Source!S26)+IF(Source!BB26&lt;&gt;0,Source!Q26/Source!BB26,Source!Q26)+H55+H56</f>
        <v>5735.417539303236</v>
      </c>
      <c r="I58" s="28"/>
      <c r="J58" s="28"/>
      <c r="K58" s="27">
        <f>Source!S26+Source!Q26+K55+K56</f>
        <v>36969.68</v>
      </c>
      <c r="L58" s="28">
        <f>Source!U26</f>
        <v>72.69</v>
      </c>
      <c r="M58" s="23">
        <f>H58</f>
        <v>5735.417539303236</v>
      </c>
      <c r="N58">
        <f>IF(Source!BA26&lt;&gt;0,Source!S26/Source!BA26,Source!S26)</f>
        <v>598.99430523918</v>
      </c>
      <c r="O58">
        <f>IF(Source!BI26=1,(IF(Source!BA26&lt;&gt;0,Source!S26/Source!BA26,Source!S26)+IF(Source!BB26&lt;&gt;0,Source!Q26/Source!BB26,Source!Q26)+IF(Source!BC26&lt;&gt;0,Source!P26/Source!BC26,Source!P26)+((Source!AT26/100)*((Source!S26/IF(Source!BA26&lt;&gt;0,Source!BA26,1))+(Source!R26/IF(Source!BS26&lt;&gt;0,Source!BS26,1))))+((Source!AU26/100)*((Source!S26/IF(Source!BA26&lt;&gt;0,Source!BA26,1))+(Source!R26/IF(Source!BS26&lt;&gt;0,Source!BS26,1))))),0)</f>
        <v>5735.417539303236</v>
      </c>
      <c r="P58">
        <f>IF(Source!BI26=2,(IF(Source!BA26&lt;&gt;0,Source!S26/Source!BA26,Source!S26)+IF(Source!BB26&lt;&gt;0,Source!Q26/Source!BB26,Source!Q26)+IF(Source!BC26&lt;&gt;0,Source!P26/Source!BC26,Source!P26)+((Source!AT26/100)*((Source!S26/IF(Source!BA26&lt;&gt;0,Source!BA26,1))+(Source!R26/IF(Source!BS26&lt;&gt;0,Source!BS26,1))))+((Source!AU26/100)*((Source!S26/IF(Source!BA26&lt;&gt;0,Source!BA26,1))+(Source!R26/IF(Source!BS26&lt;&gt;0,Source!BS26,1))))),0)</f>
        <v>0</v>
      </c>
      <c r="Q58">
        <f>IF(Source!BI26=3,(IF(Source!BA26&lt;&gt;0,Source!S26/Source!BA26,Source!S26)+IF(Source!BB26&lt;&gt;0,Source!Q26/Source!BB26,Source!Q26)+IF(Source!BC26&lt;&gt;0,Source!P26/Source!BC26,Source!P26)+((Source!AT26/100)*((Source!S26/IF(Source!BA26&lt;&gt;0,Source!BA26,1))+(Source!R26/IF(Source!BS26&lt;&gt;0,Source!BS26,1))))+((Source!AU26/100)*((Source!S26/IF(Source!BA26&lt;&gt;0,Source!BA26,1))+(Source!R26/IF(Source!BS26&lt;&gt;0,Source!BS26,1))))),0)</f>
        <v>0</v>
      </c>
      <c r="R58">
        <f>IF(Source!BI26=4,(IF(Source!BA26&lt;&gt;0,Source!S26/Source!BA26,Source!S26)+IF(Source!BB26&lt;&gt;0,Source!Q26/Source!BB26,Source!Q26)+IF(Source!BC26&lt;&gt;0,Source!P26/Source!BC26,Source!P26)+((Source!AT26/100)*((Source!S26/IF(Source!BA26&lt;&gt;0,Source!BA26,1))+(Source!R26/IF(Source!BS26&lt;&gt;0,Source!BS26,1))))+((Source!AU26/100)*((Source!S26/IF(Source!BA26&lt;&gt;0,Source!BA26,1))+(Source!R26/IF(Source!BS26&lt;&gt;0,Source!BS26,1))))),0)</f>
        <v>0</v>
      </c>
      <c r="S58">
        <f>IF(Source!BI26=1,Source!O26+Source!X26+Source!Y26,0)</f>
        <v>36969.68</v>
      </c>
      <c r="T58">
        <f>IF(Source!BI26=2,Source!O26+Source!X26+Source!Y26,0)</f>
        <v>0</v>
      </c>
      <c r="U58">
        <f>IF(Source!BI26=3,Source!O26+Source!X26+Source!Y26,0)</f>
        <v>0</v>
      </c>
      <c r="V58">
        <f>IF(Source!BI26=4,Source!O26+Source!X26+Source!Y26,0)</f>
        <v>0</v>
      </c>
      <c r="W58">
        <f>IF(Source!BS26&lt;&gt;0,Source!R26/Source!BS26,Source!R26)</f>
        <v>283.29043280182236</v>
      </c>
    </row>
    <row r="59" spans="1:12" ht="45">
      <c r="A59" s="17" t="str">
        <f>Source!E27</f>
        <v>4</v>
      </c>
      <c r="B59" s="17" t="str">
        <f>Source!F27</f>
        <v>27-12-010-2</v>
      </c>
      <c r="C59" s="18" t="str">
        <f>Source!G27</f>
        <v>Устройство дорог из сборных железобетонных плит площадью: более 3 м2</v>
      </c>
      <c r="D59" s="19" t="str">
        <f>Source!H27</f>
        <v>100 м3</v>
      </c>
      <c r="E59" s="8">
        <f>ROUND(Source!I27,6)</f>
        <v>1.9</v>
      </c>
      <c r="F59" s="8">
        <f>IF(Source!AK27&lt;&gt;0,Source!AK27,Source!AL27+Source!AM27+Source!AO27)</f>
        <v>98146.58</v>
      </c>
      <c r="G59" s="8"/>
      <c r="H59" s="8"/>
      <c r="I59" s="8"/>
      <c r="J59" s="8"/>
      <c r="K59" s="8"/>
      <c r="L59" s="8"/>
    </row>
    <row r="60" spans="1:12" ht="15">
      <c r="A60" s="6"/>
      <c r="B60" s="6"/>
      <c r="C60" s="6" t="s">
        <v>330</v>
      </c>
      <c r="D60" s="6"/>
      <c r="E60" s="6"/>
      <c r="F60" s="6">
        <f>Source!AO27</f>
        <v>429.31</v>
      </c>
      <c r="G60" s="20">
        <f>Source!DG27</f>
      </c>
      <c r="H60" s="21">
        <f>IF(Source!BA27&lt;&gt;0,Source!S27/Source!BA27,Source!S27)</f>
        <v>815.6890660592255</v>
      </c>
      <c r="I60" s="6" t="str">
        <f>IF(Source!BO27&lt;&gt;"",Source!BO27,"")</f>
        <v>27-12-010-2</v>
      </c>
      <c r="J60" s="6">
        <f>Source!BA27</f>
        <v>8.78</v>
      </c>
      <c r="K60" s="21">
        <f>Source!S27</f>
        <v>7161.75</v>
      </c>
      <c r="L60" s="6"/>
    </row>
    <row r="61" spans="1:12" ht="15">
      <c r="A61" s="6"/>
      <c r="B61" s="6"/>
      <c r="C61" s="6" t="s">
        <v>61</v>
      </c>
      <c r="D61" s="6"/>
      <c r="E61" s="6"/>
      <c r="F61" s="6">
        <f>Source!AM27</f>
        <v>1252.06</v>
      </c>
      <c r="G61" s="20">
        <f>Source!DE27</f>
      </c>
      <c r="H61" s="21">
        <f>IF(Source!BB27&lt;&gt;0,Source!Q27/Source!BB27,Source!Q27)</f>
        <v>2378.913551401869</v>
      </c>
      <c r="I61" s="6"/>
      <c r="J61" s="6">
        <f>Source!BB27</f>
        <v>4.28</v>
      </c>
      <c r="K61" s="21">
        <f>Source!Q27</f>
        <v>10181.75</v>
      </c>
      <c r="L61" s="6"/>
    </row>
    <row r="62" spans="1:12" ht="15">
      <c r="A62" s="6"/>
      <c r="B62" s="6"/>
      <c r="C62" s="6" t="s">
        <v>326</v>
      </c>
      <c r="D62" s="6"/>
      <c r="E62" s="6"/>
      <c r="F62" s="6">
        <f>Source!AN27</f>
        <v>149.98</v>
      </c>
      <c r="G62" s="20">
        <f>Source!DF27</f>
      </c>
      <c r="H62" s="22">
        <f>IF(Source!BS27&lt;&gt;0,Source!R27/Source!BS27,Source!R27)</f>
        <v>284.9624145785877</v>
      </c>
      <c r="I62" s="6"/>
      <c r="J62" s="6">
        <f>Source!BS27</f>
        <v>8.78</v>
      </c>
      <c r="K62" s="9">
        <f>Source!R27</f>
        <v>2501.97</v>
      </c>
      <c r="L62" s="6"/>
    </row>
    <row r="63" spans="1:12" ht="15">
      <c r="A63" s="6"/>
      <c r="B63" s="6"/>
      <c r="C63" s="6" t="s">
        <v>331</v>
      </c>
      <c r="D63" s="6"/>
      <c r="E63" s="6"/>
      <c r="F63" s="6">
        <f>Source!AL27</f>
        <v>96465.21</v>
      </c>
      <c r="G63" s="20">
        <f>Source!DD27</f>
      </c>
      <c r="H63" s="21">
        <f>IF(Source!BC27&lt;&gt;0,Source!P27/Source!BC27,Source!P27)</f>
        <v>183283.8986232791</v>
      </c>
      <c r="I63" s="6"/>
      <c r="J63" s="6">
        <f>Source!BC27</f>
        <v>7.99</v>
      </c>
      <c r="K63" s="21">
        <f>Source!P27</f>
        <v>1464438.35</v>
      </c>
      <c r="L63" s="6"/>
    </row>
    <row r="64" spans="1:12" ht="15">
      <c r="A64" s="6"/>
      <c r="B64" s="6"/>
      <c r="C64" s="6" t="s">
        <v>327</v>
      </c>
      <c r="D64" s="9" t="s">
        <v>328</v>
      </c>
      <c r="E64" s="6"/>
      <c r="F64" s="6">
        <f>Source!AT27</f>
        <v>133.48</v>
      </c>
      <c r="G64" s="6"/>
      <c r="H64" s="21">
        <f>(F64/100)*((Source!S27/IF(Source!BA27&lt;&gt;0,Source!BA27,1))+(Source!R27/IF(Source!BS27&lt;&gt;0,Source!BS27,1)))</f>
        <v>1469.149596355353</v>
      </c>
      <c r="I64" s="6"/>
      <c r="J64" s="6">
        <f>Source!AT27</f>
        <v>133.48</v>
      </c>
      <c r="K64" s="21">
        <f>Source!X27</f>
        <v>12899.13</v>
      </c>
      <c r="L64" s="6"/>
    </row>
    <row r="65" spans="1:12" ht="15">
      <c r="A65" s="6"/>
      <c r="B65" s="6"/>
      <c r="C65" s="6" t="s">
        <v>329</v>
      </c>
      <c r="D65" s="9" t="s">
        <v>328</v>
      </c>
      <c r="E65" s="6"/>
      <c r="F65" s="6">
        <f>Source!AU27</f>
        <v>95</v>
      </c>
      <c r="G65" s="6"/>
      <c r="H65" s="21">
        <f>(F65/100)*((Source!S27/IF(Source!BA27&lt;&gt;0,Source!BA27,1))+(Source!R27/IF(Source!BS27&lt;&gt;0,Source!BS27,1)))</f>
        <v>1045.6189066059223</v>
      </c>
      <c r="I65" s="6"/>
      <c r="J65" s="6">
        <f>Source!AU27</f>
        <v>95</v>
      </c>
      <c r="K65" s="21">
        <f>Source!Y27</f>
        <v>9180.53</v>
      </c>
      <c r="L65" s="6"/>
    </row>
    <row r="66" spans="1:12" ht="15">
      <c r="A66" s="6"/>
      <c r="B66" s="6"/>
      <c r="C66" s="6" t="s">
        <v>332</v>
      </c>
      <c r="D66" s="9" t="s">
        <v>333</v>
      </c>
      <c r="E66" s="6">
        <f>Source!AQ27</f>
        <v>51.23</v>
      </c>
      <c r="F66" s="6"/>
      <c r="G66" s="20">
        <f>Source!DI27</f>
      </c>
      <c r="H66" s="6"/>
      <c r="I66" s="6"/>
      <c r="J66" s="6"/>
      <c r="K66" s="6"/>
      <c r="L66" s="6">
        <f>Source!U27</f>
        <v>97.34</v>
      </c>
    </row>
    <row r="67" spans="1:23" ht="30">
      <c r="A67" s="33" t="str">
        <f>Source!E28</f>
        <v>4,1</v>
      </c>
      <c r="B67" s="33" t="str">
        <f>Source!F28</f>
        <v>446-6010</v>
      </c>
      <c r="C67" s="34" t="str">
        <f>Source!G28</f>
        <v>Плиты железобетонные для покрытий автомобильных дорог</v>
      </c>
      <c r="D67" s="35" t="str">
        <f>Source!H28</f>
        <v>м3</v>
      </c>
      <c r="E67" s="36">
        <f>ROUND(Source!I28,6)</f>
        <v>-190</v>
      </c>
      <c r="F67" s="36">
        <f>IF(Source!AL28=0,Source!AK28,Source!AL28)</f>
        <v>964</v>
      </c>
      <c r="G67" s="37">
        <f>Source!DD28</f>
      </c>
      <c r="H67" s="38">
        <f>IF(Source!BC28&lt;&gt;0,Source!O28/Source!BC28,Source!O28)</f>
        <v>-183159.99999999997</v>
      </c>
      <c r="I67" s="36"/>
      <c r="J67" s="36">
        <f>Source!BC28</f>
        <v>7.99</v>
      </c>
      <c r="K67" s="38">
        <f>Source!O28</f>
        <v>-1463448.4</v>
      </c>
      <c r="L67" s="36"/>
      <c r="N67">
        <f>IF(Source!BA28&lt;&gt;0,Source!S28/Source!BA28,Source!S28)</f>
        <v>0</v>
      </c>
      <c r="O67">
        <f>IF(Source!BI28=1,(IF(Source!BC28&lt;&gt;0,Source!O28/Source!BC28,Source!O28)),0)</f>
        <v>-183159.99999999997</v>
      </c>
      <c r="P67">
        <f>IF(Source!BI28=2,(IF(Source!BC28&lt;&gt;0,Source!O28/Source!BC28,Source!O28)),0)</f>
        <v>0</v>
      </c>
      <c r="Q67">
        <f>IF(Source!BI28=3,(IF(Source!BC28&lt;&gt;0,Source!O28/Source!BC28,Source!O28)),0)</f>
        <v>0</v>
      </c>
      <c r="R67">
        <f>IF(Source!BI28=4,(IF(Source!BC28&lt;&gt;0,Source!O28/Source!BC28,Source!O28)),0)</f>
        <v>0</v>
      </c>
      <c r="S67">
        <f>IF(Source!BI28=1,Source!O28+Source!X28+Source!Y28,0)</f>
        <v>-1463448.4</v>
      </c>
      <c r="T67">
        <f>IF(Source!BI28=2,Source!O28+Source!X28+Source!Y28,0)</f>
        <v>0</v>
      </c>
      <c r="U67">
        <f>IF(Source!BI28=3,Source!O28+Source!X28+Source!Y28,0)</f>
        <v>0</v>
      </c>
      <c r="V67">
        <f>IF(Source!BI28=4,Source!O28+Source!X28+Source!Y28,0)</f>
        <v>0</v>
      </c>
      <c r="W67">
        <f>IF(Source!BS28&lt;&gt;0,Source!R28/Source!BS28,Source!R28)</f>
        <v>0</v>
      </c>
    </row>
    <row r="68" spans="1:23" ht="15.75">
      <c r="A68" s="6"/>
      <c r="B68" s="6"/>
      <c r="C68" s="6"/>
      <c r="D68" s="6"/>
      <c r="E68" s="6"/>
      <c r="F68" s="6"/>
      <c r="G68" s="6"/>
      <c r="H68" s="27">
        <f>IF(Source!BA27&lt;&gt;0,Source!S27/Source!BA27,Source!S27)+IF(Source!BB27&lt;&gt;0,Source!Q27/Source!BB27,Source!Q27)+H63+H64+H65+H67</f>
        <v>5833.269743701501</v>
      </c>
      <c r="I68" s="28"/>
      <c r="J68" s="28"/>
      <c r="K68" s="27">
        <f>Source!S27+Source!Q27+K63+K64+K65+K67</f>
        <v>40413.1100000001</v>
      </c>
      <c r="L68" s="28">
        <f>Source!U27</f>
        <v>97.34</v>
      </c>
      <c r="M68" s="23">
        <f>H68</f>
        <v>5833.269743701501</v>
      </c>
      <c r="N68">
        <f>IF(Source!BA27&lt;&gt;0,Source!S27/Source!BA27,Source!S27)</f>
        <v>815.6890660592255</v>
      </c>
      <c r="O68">
        <f>IF(Source!BI27=1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188993.26974370147</v>
      </c>
      <c r="P68">
        <f>IF(Source!BI27=2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0</v>
      </c>
      <c r="Q68">
        <f>IF(Source!BI27=3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0</v>
      </c>
      <c r="R68">
        <f>IF(Source!BI27=4,(IF(Source!BA27&lt;&gt;0,Source!S27/Source!BA27,Source!S27)+IF(Source!BB27&lt;&gt;0,Source!Q27/Source!BB27,Source!Q27)+IF(Source!BC27&lt;&gt;0,Source!P27/Source!BC27,Source!P27)+((Source!AT27/100)*((Source!S27/IF(Source!BA27&lt;&gt;0,Source!BA27,1))+(Source!R27/IF(Source!BS27&lt;&gt;0,Source!BS27,1))))+((Source!AU27/100)*((Source!S27/IF(Source!BA27&lt;&gt;0,Source!BA27,1))+(Source!R27/IF(Source!BS27&lt;&gt;0,Source!BS27,1))))),0)</f>
        <v>0</v>
      </c>
      <c r="S68">
        <f>IF(Source!BI27=1,Source!O27+Source!X27+Source!Y27,0)</f>
        <v>1503861.51</v>
      </c>
      <c r="T68">
        <f>IF(Source!BI27=2,Source!O27+Source!X27+Source!Y27,0)</f>
        <v>0</v>
      </c>
      <c r="U68">
        <f>IF(Source!BI27=3,Source!O27+Source!X27+Source!Y27,0)</f>
        <v>0</v>
      </c>
      <c r="V68">
        <f>IF(Source!BI27=4,Source!O27+Source!X27+Source!Y27,0)</f>
        <v>0</v>
      </c>
      <c r="W68">
        <f>IF(Source!BS27&lt;&gt;0,Source!R27/Source!BS27,Source!R27)</f>
        <v>284.9624145785877</v>
      </c>
    </row>
    <row r="69" spans="1:12" ht="45">
      <c r="A69" s="17" t="str">
        <f>Source!E29</f>
        <v>5</v>
      </c>
      <c r="B69" s="17" t="str">
        <f>Source!F29</f>
        <v>27-12-010-2</v>
      </c>
      <c r="C69" s="18" t="str">
        <f>Source!G29</f>
        <v>Устройство дорог из сборных железобетонных плит площадью: более 3 м2</v>
      </c>
      <c r="D69" s="19" t="str">
        <f>Source!H29</f>
        <v>100 м3</v>
      </c>
      <c r="E69" s="8">
        <f>ROUND(Source!I29,6)</f>
        <v>1.12</v>
      </c>
      <c r="F69" s="8">
        <f>IF(Source!AK29&lt;&gt;0,Source!AK29,Source!AL29+Source!AM29+Source!AO29)</f>
        <v>98146.58</v>
      </c>
      <c r="G69" s="8"/>
      <c r="H69" s="8"/>
      <c r="I69" s="8"/>
      <c r="J69" s="8"/>
      <c r="K69" s="8"/>
      <c r="L69" s="8"/>
    </row>
    <row r="70" spans="1:12" ht="15">
      <c r="A70" s="6"/>
      <c r="B70" s="6"/>
      <c r="C70" s="6" t="s">
        <v>330</v>
      </c>
      <c r="D70" s="6"/>
      <c r="E70" s="6"/>
      <c r="F70" s="6">
        <f>Source!AO29</f>
        <v>429.31</v>
      </c>
      <c r="G70" s="20">
        <f>Source!DG29</f>
      </c>
      <c r="H70" s="21">
        <f>IF(Source!BA29&lt;&gt;0,Source!S29/Source!BA29,Source!S29)</f>
        <v>480.82687927107065</v>
      </c>
      <c r="I70" s="6" t="str">
        <f>IF(Source!BO29&lt;&gt;"",Source!BO29,"")</f>
        <v>27-12-010-2</v>
      </c>
      <c r="J70" s="6">
        <f>Source!BA29</f>
        <v>8.78</v>
      </c>
      <c r="K70" s="21">
        <f>Source!S29</f>
        <v>4221.66</v>
      </c>
      <c r="L70" s="6"/>
    </row>
    <row r="71" spans="1:12" ht="15">
      <c r="A71" s="6"/>
      <c r="B71" s="6"/>
      <c r="C71" s="6" t="s">
        <v>61</v>
      </c>
      <c r="D71" s="6"/>
      <c r="E71" s="6"/>
      <c r="F71" s="6">
        <f>Source!AM29</f>
        <v>1252.06</v>
      </c>
      <c r="G71" s="20">
        <f>Source!DE29</f>
      </c>
      <c r="H71" s="21">
        <f>IF(Source!BB29&lt;&gt;0,Source!Q29/Source!BB29,Source!Q29)</f>
        <v>1402.306074766355</v>
      </c>
      <c r="I71" s="6"/>
      <c r="J71" s="6">
        <f>Source!BB29</f>
        <v>4.28</v>
      </c>
      <c r="K71" s="21">
        <f>Source!Q29</f>
        <v>6001.87</v>
      </c>
      <c r="L71" s="6"/>
    </row>
    <row r="72" spans="1:12" ht="15">
      <c r="A72" s="6"/>
      <c r="B72" s="6"/>
      <c r="C72" s="6" t="s">
        <v>326</v>
      </c>
      <c r="D72" s="6"/>
      <c r="E72" s="6"/>
      <c r="F72" s="6">
        <f>Source!AN29</f>
        <v>149.98</v>
      </c>
      <c r="G72" s="20">
        <f>Source!DF29</f>
      </c>
      <c r="H72" s="22">
        <f>IF(Source!BS29&lt;&gt;0,Source!R29/Source!BS29,Source!R29)</f>
        <v>167.97722095671983</v>
      </c>
      <c r="I72" s="6"/>
      <c r="J72" s="6">
        <f>Source!BS29</f>
        <v>8.78</v>
      </c>
      <c r="K72" s="9">
        <f>Source!R29</f>
        <v>1474.84</v>
      </c>
      <c r="L72" s="6"/>
    </row>
    <row r="73" spans="1:12" ht="15">
      <c r="A73" s="6"/>
      <c r="B73" s="6"/>
      <c r="C73" s="6" t="s">
        <v>331</v>
      </c>
      <c r="D73" s="6"/>
      <c r="E73" s="6"/>
      <c r="F73" s="6">
        <f>Source!AL29</f>
        <v>96465.21</v>
      </c>
      <c r="G73" s="20">
        <f>Source!DD29</f>
      </c>
      <c r="H73" s="21">
        <f>IF(Source!BC29&lt;&gt;0,Source!P29/Source!BC29,Source!P29)</f>
        <v>108041.03504380475</v>
      </c>
      <c r="I73" s="6"/>
      <c r="J73" s="6">
        <f>Source!BC29</f>
        <v>7.99</v>
      </c>
      <c r="K73" s="21">
        <f>Source!P29</f>
        <v>863247.87</v>
      </c>
      <c r="L73" s="6"/>
    </row>
    <row r="74" spans="1:12" ht="15">
      <c r="A74" s="6"/>
      <c r="B74" s="6"/>
      <c r="C74" s="6" t="s">
        <v>327</v>
      </c>
      <c r="D74" s="9" t="s">
        <v>328</v>
      </c>
      <c r="E74" s="6"/>
      <c r="F74" s="6">
        <f>Source!AT29</f>
        <v>133.48</v>
      </c>
      <c r="G74" s="6"/>
      <c r="H74" s="21">
        <f>(F74/100)*((Source!S29/IF(Source!BA29&lt;&gt;0,Source!BA29,1))+(Source!R29/IF(Source!BS29&lt;&gt;0,Source!BS29,1)))</f>
        <v>866.0237129840548</v>
      </c>
      <c r="I74" s="6"/>
      <c r="J74" s="6">
        <f>Source!AT29</f>
        <v>133.48</v>
      </c>
      <c r="K74" s="21">
        <f>Source!X29</f>
        <v>7603.69</v>
      </c>
      <c r="L74" s="6"/>
    </row>
    <row r="75" spans="1:12" ht="15">
      <c r="A75" s="6"/>
      <c r="B75" s="6"/>
      <c r="C75" s="6" t="s">
        <v>329</v>
      </c>
      <c r="D75" s="9" t="s">
        <v>328</v>
      </c>
      <c r="E75" s="6"/>
      <c r="F75" s="6">
        <f>Source!AU29</f>
        <v>95</v>
      </c>
      <c r="G75" s="6"/>
      <c r="H75" s="21">
        <f>(F75/100)*((Source!S29/IF(Source!BA29&lt;&gt;0,Source!BA29,1))+(Source!R29/IF(Source!BS29&lt;&gt;0,Source!BS29,1)))</f>
        <v>616.3638952164009</v>
      </c>
      <c r="I75" s="6"/>
      <c r="J75" s="6">
        <f>Source!AU29</f>
        <v>95</v>
      </c>
      <c r="K75" s="21">
        <f>Source!Y29</f>
        <v>5411.68</v>
      </c>
      <c r="L75" s="6"/>
    </row>
    <row r="76" spans="1:12" ht="15">
      <c r="A76" s="6"/>
      <c r="B76" s="6"/>
      <c r="C76" s="6" t="s">
        <v>332</v>
      </c>
      <c r="D76" s="9" t="s">
        <v>333</v>
      </c>
      <c r="E76" s="6">
        <f>Source!AQ29</f>
        <v>51.23</v>
      </c>
      <c r="F76" s="6"/>
      <c r="G76" s="20">
        <f>Source!DI29</f>
      </c>
      <c r="H76" s="6"/>
      <c r="I76" s="6"/>
      <c r="J76" s="6"/>
      <c r="K76" s="6"/>
      <c r="L76" s="6">
        <f>Source!U29</f>
        <v>57.38</v>
      </c>
    </row>
    <row r="77" spans="1:23" ht="30">
      <c r="A77" s="33" t="str">
        <f>Source!E30</f>
        <v>5,1</v>
      </c>
      <c r="B77" s="33" t="str">
        <f>Source!F30</f>
        <v>446-6010</v>
      </c>
      <c r="C77" s="34" t="str">
        <f>Source!G30</f>
        <v>Плиты железобетонные для покрытий автомобильных дорог</v>
      </c>
      <c r="D77" s="35" t="str">
        <f>Source!H30</f>
        <v>м3</v>
      </c>
      <c r="E77" s="36">
        <f>ROUND(Source!I30,6)</f>
        <v>-73.92</v>
      </c>
      <c r="F77" s="36">
        <f>IF(Source!AL30=0,Source!AK30,Source!AL30)</f>
        <v>964</v>
      </c>
      <c r="G77" s="37">
        <f>Source!DD30</f>
      </c>
      <c r="H77" s="38">
        <f>IF(Source!BC30&lt;&gt;0,Source!O30/Source!BC30,Source!O30)</f>
        <v>-71258.87984981226</v>
      </c>
      <c r="I77" s="36"/>
      <c r="J77" s="36">
        <f>Source!BC30</f>
        <v>7.99</v>
      </c>
      <c r="K77" s="38">
        <f>Source!O30</f>
        <v>-569358.45</v>
      </c>
      <c r="L77" s="36"/>
      <c r="N77">
        <f>IF(Source!BA30&lt;&gt;0,Source!S30/Source!BA30,Source!S30)</f>
        <v>0</v>
      </c>
      <c r="O77">
        <f>IF(Source!BI30=1,(IF(Source!BC30&lt;&gt;0,Source!O30/Source!BC30,Source!O30)),0)</f>
        <v>-71258.87984981226</v>
      </c>
      <c r="P77">
        <f>IF(Source!BI30=2,(IF(Source!BC30&lt;&gt;0,Source!O30/Source!BC30,Source!O30)),0)</f>
        <v>0</v>
      </c>
      <c r="Q77">
        <f>IF(Source!BI30=3,(IF(Source!BC30&lt;&gt;0,Source!O30/Source!BC30,Source!O30)),0)</f>
        <v>0</v>
      </c>
      <c r="R77">
        <f>IF(Source!BI30=4,(IF(Source!BC30&lt;&gt;0,Source!O30/Source!BC30,Source!O30)),0)</f>
        <v>0</v>
      </c>
      <c r="S77">
        <f>IF(Source!BI30=1,Source!O30+Source!X30+Source!Y30,0)</f>
        <v>-569358.45</v>
      </c>
      <c r="T77">
        <f>IF(Source!BI30=2,Source!O30+Source!X30+Source!Y30,0)</f>
        <v>0</v>
      </c>
      <c r="U77">
        <f>IF(Source!BI30=3,Source!O30+Source!X30+Source!Y30,0)</f>
        <v>0</v>
      </c>
      <c r="V77">
        <f>IF(Source!BI30=4,Source!O30+Source!X30+Source!Y30,0)</f>
        <v>0</v>
      </c>
      <c r="W77">
        <f>IF(Source!BS30&lt;&gt;0,Source!R30/Source!BS30,Source!R30)</f>
        <v>0</v>
      </c>
    </row>
    <row r="78" spans="1:23" ht="15.75">
      <c r="A78" s="6"/>
      <c r="B78" s="6"/>
      <c r="C78" s="6"/>
      <c r="D78" s="6"/>
      <c r="E78" s="6"/>
      <c r="F78" s="6"/>
      <c r="G78" s="6"/>
      <c r="H78" s="27">
        <f>IF(Source!BA29&lt;&gt;0,Source!S29/Source!BA29,Source!S29)+IF(Source!BB29&lt;&gt;0,Source!Q29/Source!BB29,Source!Q29)+H73+H74+H75+H77</f>
        <v>40147.67575623037</v>
      </c>
      <c r="I78" s="28"/>
      <c r="J78" s="28"/>
      <c r="K78" s="27">
        <f>Source!S29+Source!Q29+K73+K74+K75+K77</f>
        <v>317128.32000000007</v>
      </c>
      <c r="L78" s="28">
        <f>Source!U29</f>
        <v>57.38</v>
      </c>
      <c r="M78" s="23">
        <f>H78</f>
        <v>40147.67575623037</v>
      </c>
      <c r="N78">
        <f>IF(Source!BA29&lt;&gt;0,Source!S29/Source!BA29,Source!S29)</f>
        <v>480.82687927107065</v>
      </c>
      <c r="O78">
        <f>IF(Source!BI29=1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111406.55560604263</v>
      </c>
      <c r="P78">
        <f>IF(Source!BI29=2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0</v>
      </c>
      <c r="Q78">
        <f>IF(Source!BI29=3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0</v>
      </c>
      <c r="R78">
        <f>IF(Source!BI29=4,(IF(Source!BA29&lt;&gt;0,Source!S29/Source!BA29,Source!S29)+IF(Source!BB29&lt;&gt;0,Source!Q29/Source!BB29,Source!Q29)+IF(Source!BC29&lt;&gt;0,Source!P29/Source!BC29,Source!P29)+((Source!AT29/100)*((Source!S29/IF(Source!BA29&lt;&gt;0,Source!BA29,1))+(Source!R29/IF(Source!BS29&lt;&gt;0,Source!BS29,1))))+((Source!AU29/100)*((Source!S29/IF(Source!BA29&lt;&gt;0,Source!BA29,1))+(Source!R29/IF(Source!BS29&lt;&gt;0,Source!BS29,1))))),0)</f>
        <v>0</v>
      </c>
      <c r="S78">
        <f>IF(Source!BI29=1,Source!O29+Source!X29+Source!Y29,0)</f>
        <v>886486.77</v>
      </c>
      <c r="T78">
        <f>IF(Source!BI29=2,Source!O29+Source!X29+Source!Y29,0)</f>
        <v>0</v>
      </c>
      <c r="U78">
        <f>IF(Source!BI29=3,Source!O29+Source!X29+Source!Y29,0)</f>
        <v>0</v>
      </c>
      <c r="V78">
        <f>IF(Source!BI29=4,Source!O29+Source!X29+Source!Y29,0)</f>
        <v>0</v>
      </c>
      <c r="W78">
        <f>IF(Source!BS29&lt;&gt;0,Source!R29/Source!BS29,Source!R29)</f>
        <v>167.97722095671983</v>
      </c>
    </row>
    <row r="79" spans="1:12" ht="120">
      <c r="A79" s="17" t="str">
        <f>Source!E31</f>
        <v>6</v>
      </c>
      <c r="B79" s="17" t="str">
        <f>Source!F31</f>
        <v>310-1001-1</v>
      </c>
      <c r="C79" s="18" t="str">
        <f>Source!G31</f>
        <v>Перевозка бетонных, железобетонных изделий, стеновых и перегородочных материалов, лесоматериалов круглых и материалов бортовым автомобилем грузоподъемностью 15 т на расстояние 1 км, класс груза 1.</v>
      </c>
      <c r="D79" s="19" t="str">
        <f>Source!H31</f>
        <v>т</v>
      </c>
      <c r="E79" s="8">
        <f>ROUND(Source!I31,6)</f>
        <v>442.2</v>
      </c>
      <c r="F79" s="8">
        <f>IF(Source!AK31&lt;&gt;0,Source!AK31,Source!AL31+Source!AM31+Source!AO31)</f>
        <v>10.35</v>
      </c>
      <c r="G79" s="8"/>
      <c r="H79" s="8"/>
      <c r="I79" s="8"/>
      <c r="J79" s="8"/>
      <c r="K79" s="8"/>
      <c r="L79" s="8"/>
    </row>
    <row r="80" spans="1:12" ht="15">
      <c r="A80" s="24"/>
      <c r="B80" s="24"/>
      <c r="C80" s="24" t="s">
        <v>61</v>
      </c>
      <c r="D80" s="24"/>
      <c r="E80" s="24"/>
      <c r="F80" s="24">
        <f>Source!AM31</f>
        <v>10.35</v>
      </c>
      <c r="G80" s="32">
        <f>Source!DE31</f>
      </c>
      <c r="H80" s="26">
        <f>IF(Source!BB31&lt;&gt;0,Source!Q31/Source!BB31,Source!Q31)</f>
        <v>4576.77033492823</v>
      </c>
      <c r="I80" s="24" t="str">
        <f>IF(Source!BO31&lt;&gt;"",Source!BO31,"")</f>
        <v>310-1001-1</v>
      </c>
      <c r="J80" s="24">
        <f>Source!BB31</f>
        <v>4.18</v>
      </c>
      <c r="K80" s="26">
        <f>Source!Q31</f>
        <v>19130.9</v>
      </c>
      <c r="L80" s="24"/>
    </row>
    <row r="81" spans="1:23" ht="15.75">
      <c r="A81" s="6"/>
      <c r="B81" s="6"/>
      <c r="C81" s="6"/>
      <c r="D81" s="6"/>
      <c r="E81" s="6"/>
      <c r="F81" s="6"/>
      <c r="G81" s="6"/>
      <c r="H81" s="27">
        <f>Source!S31/IF(Source!BA31&lt;&gt;0,Source!BA31,1)+Source!Q31/IF(Source!BB31&lt;&gt;0,Source!BB31,1)</f>
        <v>4576.77033492823</v>
      </c>
      <c r="I81" s="28"/>
      <c r="J81" s="28"/>
      <c r="K81" s="27">
        <f>Source!S31+Source!Q31</f>
        <v>19130.9</v>
      </c>
      <c r="L81" s="28">
        <f>Source!U31</f>
        <v>0</v>
      </c>
      <c r="M81" s="23">
        <f>H81</f>
        <v>4576.77033492823</v>
      </c>
      <c r="N81">
        <f>IF(Source!BA31&lt;&gt;0,Source!S31/Source!BA31,Source!S31)</f>
        <v>0</v>
      </c>
      <c r="O81">
        <f>IF(Source!BI31=1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4576.77033492823</v>
      </c>
      <c r="P81">
        <f>IF(Source!BI31=2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Q81">
        <f>IF(Source!BI31=3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R81">
        <f>IF(Source!BI31=4,(IF(Source!BA31&lt;&gt;0,Source!S31/Source!BA31,Source!S31)+IF(Source!BB31&lt;&gt;0,Source!Q31/Source!BB31,Source!Q31)+IF(Source!BC31&lt;&gt;0,Source!P31/Source!BC31,Source!P31)+((Source!AT31/100)*((Source!S31/IF(Source!BA31&lt;&gt;0,Source!BA31,1))+(Source!R31/IF(Source!BS31&lt;&gt;0,Source!BS31,1))))+((Source!AU31/100)*((Source!S31/IF(Source!BA31&lt;&gt;0,Source!BA31,1))+(Source!R31/IF(Source!BS31&lt;&gt;0,Source!BS31,1))))),0)</f>
        <v>0</v>
      </c>
      <c r="S81">
        <f>IF(Source!BI31=1,Source!O31+Source!X31+Source!Y31,0)</f>
        <v>19130.9</v>
      </c>
      <c r="T81">
        <f>IF(Source!BI31=2,Source!O31+Source!X31+Source!Y31,0)</f>
        <v>0</v>
      </c>
      <c r="U81">
        <f>IF(Source!BI31=3,Source!O31+Source!X31+Source!Y31,0)</f>
        <v>0</v>
      </c>
      <c r="V81">
        <f>IF(Source!BI31=4,Source!O31+Source!X31+Source!Y31,0)</f>
        <v>0</v>
      </c>
      <c r="W81">
        <f>IF(Source!BS31&lt;&gt;0,Source!R31/Source!BS31,Source!R31)</f>
        <v>0</v>
      </c>
    </row>
    <row r="83" spans="3:23" s="28" customFormat="1" ht="15.75">
      <c r="C83" s="28" t="s">
        <v>334</v>
      </c>
      <c r="G83" s="53">
        <f>SUM(M36:M82)</f>
        <v>72381.79176066896</v>
      </c>
      <c r="H83" s="53"/>
      <c r="J83" s="53">
        <f>ROUND(Source!AB22+Source!AK22+Source!AL22+Source!AE22*0/100,2)</f>
        <v>515038.35</v>
      </c>
      <c r="K83" s="53"/>
      <c r="L83" s="28">
        <f>Source!AH22</f>
        <v>253.74</v>
      </c>
      <c r="N83" s="27">
        <f aca="true" t="shared" si="0" ref="N83:W83">SUM(N36:N82)</f>
        <v>2106.6776765375853</v>
      </c>
      <c r="O83" s="27">
        <f t="shared" si="0"/>
        <v>72381.79176066896</v>
      </c>
      <c r="P83" s="27">
        <f t="shared" si="0"/>
        <v>0</v>
      </c>
      <c r="Q83" s="27">
        <f t="shared" si="0"/>
        <v>0</v>
      </c>
      <c r="R83" s="27">
        <f t="shared" si="0"/>
        <v>0</v>
      </c>
      <c r="S83" s="27">
        <f t="shared" si="0"/>
        <v>515038.3500000002</v>
      </c>
      <c r="T83" s="27">
        <f t="shared" si="0"/>
        <v>0</v>
      </c>
      <c r="U83" s="27">
        <f t="shared" si="0"/>
        <v>0</v>
      </c>
      <c r="V83" s="27">
        <f t="shared" si="0"/>
        <v>0</v>
      </c>
      <c r="W83" s="28">
        <f t="shared" si="0"/>
        <v>1042.2858769931663</v>
      </c>
    </row>
    <row r="86" spans="3:23" s="39" customFormat="1" ht="18">
      <c r="C86" s="39" t="s">
        <v>335</v>
      </c>
      <c r="G86" s="54">
        <f>G83</f>
        <v>72381.79176066896</v>
      </c>
      <c r="H86" s="54"/>
      <c r="J86" s="54">
        <f>ROUND(Source!O33+Source!X33+Source!Y33+Source!R33*0/100,2)</f>
        <v>515038.35</v>
      </c>
      <c r="K86" s="54"/>
      <c r="L86" s="39">
        <f>Source!U33</f>
        <v>253.74</v>
      </c>
      <c r="N86" s="40">
        <f aca="true" t="shared" si="1" ref="N86:W86">N83</f>
        <v>2106.6776765375853</v>
      </c>
      <c r="O86" s="40">
        <f t="shared" si="1"/>
        <v>72381.79176066896</v>
      </c>
      <c r="P86" s="40">
        <f t="shared" si="1"/>
        <v>0</v>
      </c>
      <c r="Q86" s="40">
        <f t="shared" si="1"/>
        <v>0</v>
      </c>
      <c r="R86" s="40">
        <f t="shared" si="1"/>
        <v>0</v>
      </c>
      <c r="S86" s="40">
        <f t="shared" si="1"/>
        <v>515038.3500000002</v>
      </c>
      <c r="T86" s="40">
        <f t="shared" si="1"/>
        <v>0</v>
      </c>
      <c r="U86" s="40">
        <f t="shared" si="1"/>
        <v>0</v>
      </c>
      <c r="V86" s="40">
        <f t="shared" si="1"/>
        <v>0</v>
      </c>
      <c r="W86" s="39">
        <f t="shared" si="1"/>
        <v>1042.2858769931663</v>
      </c>
    </row>
    <row r="88" spans="3:11" ht="18">
      <c r="C88" s="39" t="s">
        <v>336</v>
      </c>
      <c r="D88" s="30" t="str">
        <f>D98</f>
        <v>Устройство временной дороги</v>
      </c>
      <c r="E88" s="30"/>
      <c r="F88" s="30"/>
      <c r="G88" s="30"/>
      <c r="H88" s="30"/>
      <c r="I88" s="30"/>
      <c r="J88" s="30"/>
      <c r="K88" s="30"/>
    </row>
    <row r="89" spans="3:12" ht="18">
      <c r="C89" s="51" t="str">
        <f>Source!H46</f>
        <v>ПРЯМЫЕ ЗАТРАТЫ</v>
      </c>
      <c r="D89" s="51"/>
      <c r="E89" s="51"/>
      <c r="F89" s="51"/>
      <c r="G89" s="51"/>
      <c r="H89" s="51"/>
      <c r="I89" s="51"/>
      <c r="J89" s="52">
        <f>Source!F46</f>
        <v>451935.71</v>
      </c>
      <c r="K89" s="29"/>
      <c r="L89" s="41"/>
    </row>
    <row r="90" spans="3:12" ht="18">
      <c r="C90" s="51" t="str">
        <f>Source!H47</f>
        <v>НАКЛАДНЫЕ  РАСХОДЫ</v>
      </c>
      <c r="D90" s="51"/>
      <c r="E90" s="51"/>
      <c r="F90" s="51"/>
      <c r="G90" s="51"/>
      <c r="H90" s="51"/>
      <c r="I90" s="51"/>
      <c r="J90" s="52">
        <f>Source!F47</f>
        <v>36871.08</v>
      </c>
      <c r="K90" s="29"/>
      <c r="L90" s="41"/>
    </row>
    <row r="91" spans="3:12" ht="18">
      <c r="C91" s="51" t="str">
        <f>Source!H48</f>
        <v>СМЕТНАЯ ПРИБЫЛЬ</v>
      </c>
      <c r="D91" s="51"/>
      <c r="E91" s="51"/>
      <c r="F91" s="51"/>
      <c r="G91" s="51"/>
      <c r="H91" s="51"/>
      <c r="I91" s="51"/>
      <c r="J91" s="52">
        <f>Source!F48</f>
        <v>26231.56</v>
      </c>
      <c r="K91" s="29"/>
      <c r="L91" s="41"/>
    </row>
    <row r="92" spans="3:12" ht="18">
      <c r="C92" s="51" t="str">
        <f>Source!H49</f>
        <v>ИТОГО</v>
      </c>
      <c r="D92" s="51"/>
      <c r="E92" s="51"/>
      <c r="F92" s="51"/>
      <c r="G92" s="51"/>
      <c r="H92" s="51"/>
      <c r="I92" s="51"/>
      <c r="J92" s="52">
        <f>Source!F49</f>
        <v>515038.35</v>
      </c>
      <c r="K92" s="29"/>
      <c r="L92" s="41"/>
    </row>
    <row r="93" spans="3:12" ht="18">
      <c r="C93" s="51" t="str">
        <f>Source!H52</f>
        <v>ЗИМНЕЕ УДОРОЖАНИЕ %</v>
      </c>
      <c r="D93" s="51"/>
      <c r="E93" s="51"/>
      <c r="F93" s="51"/>
      <c r="G93" s="51"/>
      <c r="H93" s="51"/>
      <c r="I93" s="51"/>
      <c r="J93" s="52">
        <f>Source!F52</f>
        <v>1.2</v>
      </c>
      <c r="K93" s="29"/>
      <c r="L93" s="41"/>
    </row>
    <row r="94" spans="3:12" ht="18">
      <c r="C94" s="51" t="str">
        <f>Source!H53</f>
        <v>С ЗИМНИМ УДОРОЖАНИЕМ</v>
      </c>
      <c r="D94" s="51"/>
      <c r="E94" s="51"/>
      <c r="F94" s="51"/>
      <c r="G94" s="51"/>
      <c r="H94" s="51"/>
      <c r="I94" s="51"/>
      <c r="J94" s="52">
        <f>Source!F53</f>
        <v>521218.81</v>
      </c>
      <c r="K94" s="29"/>
      <c r="L94" s="41"/>
    </row>
    <row r="95" spans="3:12" ht="18">
      <c r="C95" s="51" t="str">
        <f>Source!H56</f>
        <v>НДС 18%</v>
      </c>
      <c r="D95" s="51"/>
      <c r="E95" s="51"/>
      <c r="F95" s="51"/>
      <c r="G95" s="51"/>
      <c r="H95" s="51"/>
      <c r="I95" s="51"/>
      <c r="J95" s="52">
        <f>Source!F56</f>
        <v>93819.39</v>
      </c>
      <c r="K95" s="29"/>
      <c r="L95" s="41"/>
    </row>
    <row r="96" spans="3:12" ht="18">
      <c r="C96" s="51" t="str">
        <f>Source!H57</f>
        <v>ВСЕГО</v>
      </c>
      <c r="D96" s="51"/>
      <c r="E96" s="51"/>
      <c r="F96" s="51"/>
      <c r="G96" s="51"/>
      <c r="H96" s="51"/>
      <c r="I96" s="51"/>
      <c r="J96" s="52">
        <f>Source!F57</f>
        <v>615038.22</v>
      </c>
      <c r="K96" s="29"/>
      <c r="L96" s="41"/>
    </row>
    <row r="98" spans="3:11" ht="18" hidden="1">
      <c r="C98" s="39" t="s">
        <v>337</v>
      </c>
      <c r="D98" s="30" t="str">
        <f>Source!G59</f>
        <v>Устройство временной дороги</v>
      </c>
      <c r="E98" s="30"/>
      <c r="F98" s="30"/>
      <c r="G98" s="30"/>
      <c r="H98" s="30"/>
      <c r="I98" s="30"/>
      <c r="J98" s="30"/>
      <c r="K98" s="30"/>
    </row>
    <row r="99" spans="3:12" ht="18" hidden="1">
      <c r="C99" s="51" t="str">
        <f>Source!H72</f>
        <v>ПРЯМЫЕ ЗАТРАТЫ</v>
      </c>
      <c r="D99" s="51"/>
      <c r="E99" s="51"/>
      <c r="F99" s="51"/>
      <c r="G99" s="51"/>
      <c r="H99" s="51"/>
      <c r="I99" s="51"/>
      <c r="J99" s="52">
        <f>Source!F72</f>
        <v>451935.71</v>
      </c>
      <c r="K99" s="29"/>
      <c r="L99" s="41"/>
    </row>
    <row r="100" spans="3:12" ht="18" hidden="1">
      <c r="C100" s="51" t="str">
        <f>Source!H73</f>
        <v>НАКЛАДНЫЕ  РАСХОДЫ</v>
      </c>
      <c r="D100" s="51"/>
      <c r="E100" s="51"/>
      <c r="F100" s="51"/>
      <c r="G100" s="51"/>
      <c r="H100" s="51"/>
      <c r="I100" s="51"/>
      <c r="J100" s="52">
        <f>Source!F73</f>
        <v>36871.08</v>
      </c>
      <c r="K100" s="29"/>
      <c r="L100" s="41"/>
    </row>
    <row r="101" spans="3:12" ht="18" hidden="1">
      <c r="C101" s="51" t="str">
        <f>Source!H74</f>
        <v>СМЕТНАЯ ПРИБЫЛЬ</v>
      </c>
      <c r="D101" s="51"/>
      <c r="E101" s="51"/>
      <c r="F101" s="51"/>
      <c r="G101" s="51"/>
      <c r="H101" s="51"/>
      <c r="I101" s="51"/>
      <c r="J101" s="52">
        <f>Source!F74</f>
        <v>26231.56</v>
      </c>
      <c r="K101" s="29"/>
      <c r="L101" s="41"/>
    </row>
    <row r="102" spans="3:12" ht="18" hidden="1">
      <c r="C102" s="51" t="str">
        <f>Source!H75</f>
        <v>ИТОГО</v>
      </c>
      <c r="D102" s="51"/>
      <c r="E102" s="51"/>
      <c r="F102" s="51"/>
      <c r="G102" s="51"/>
      <c r="H102" s="51"/>
      <c r="I102" s="51"/>
      <c r="J102" s="52">
        <f>Source!F75</f>
        <v>515038.35</v>
      </c>
      <c r="K102" s="29"/>
      <c r="L102" s="41"/>
    </row>
    <row r="103" spans="3:12" ht="18" hidden="1">
      <c r="C103" s="51" t="str">
        <f>Source!H78</f>
        <v>ЗИМНЕЕ УДОРОЖАНИЕ %</v>
      </c>
      <c r="D103" s="51"/>
      <c r="E103" s="51"/>
      <c r="F103" s="51"/>
      <c r="G103" s="51"/>
      <c r="H103" s="51"/>
      <c r="I103" s="51"/>
      <c r="J103" s="52">
        <f>Source!F78</f>
        <v>1.2</v>
      </c>
      <c r="K103" s="29"/>
      <c r="L103" s="41"/>
    </row>
    <row r="104" spans="3:12" ht="18" hidden="1">
      <c r="C104" s="51" t="str">
        <f>Source!H79</f>
        <v>С ЗИМНИМ УДОРОЖАНИЕМ</v>
      </c>
      <c r="D104" s="51"/>
      <c r="E104" s="51"/>
      <c r="F104" s="51"/>
      <c r="G104" s="51"/>
      <c r="H104" s="51"/>
      <c r="I104" s="51"/>
      <c r="J104" s="52">
        <f>Source!F79</f>
        <v>521218.81</v>
      </c>
      <c r="K104" s="29"/>
      <c r="L104" s="41"/>
    </row>
    <row r="105" spans="3:12" ht="18" hidden="1">
      <c r="C105" s="51" t="str">
        <f>Source!H82</f>
        <v>НДС 18%</v>
      </c>
      <c r="D105" s="51"/>
      <c r="E105" s="51"/>
      <c r="F105" s="51"/>
      <c r="G105" s="51"/>
      <c r="H105" s="51"/>
      <c r="I105" s="51"/>
      <c r="J105" s="52">
        <f>Source!F82</f>
        <v>93819.39</v>
      </c>
      <c r="K105" s="29"/>
      <c r="L105" s="41"/>
    </row>
    <row r="106" spans="3:12" ht="18" hidden="1">
      <c r="C106" s="51" t="str">
        <f>Source!H83</f>
        <v>ВСЕГО</v>
      </c>
      <c r="D106" s="51"/>
      <c r="E106" s="51"/>
      <c r="F106" s="51"/>
      <c r="G106" s="51"/>
      <c r="H106" s="51"/>
      <c r="I106" s="51"/>
      <c r="J106" s="52">
        <f>Source!F83</f>
        <v>615038.22</v>
      </c>
      <c r="K106" s="29"/>
      <c r="L106" s="41"/>
    </row>
    <row r="107" ht="12.75" hidden="1"/>
    <row r="110" spans="1:8" s="4" customFormat="1" ht="12.75">
      <c r="A110" s="4" t="s">
        <v>338</v>
      </c>
      <c r="C110" s="42" t="str">
        <f>IF(Source!AO12&lt;&gt;"",Source!AO12," ")</f>
        <v> </v>
      </c>
      <c r="D110" s="42"/>
      <c r="E110" s="42"/>
      <c r="F110" s="42"/>
      <c r="G110" s="42"/>
      <c r="H110" s="4" t="str">
        <f>IF(Source!R12&lt;&gt;"",Source!R12," ")</f>
        <v> </v>
      </c>
    </row>
    <row r="111" spans="3:7" s="5" customFormat="1" ht="11.25">
      <c r="C111" s="43" t="s">
        <v>339</v>
      </c>
      <c r="D111" s="43"/>
      <c r="E111" s="43"/>
      <c r="F111" s="43"/>
      <c r="G111" s="43"/>
    </row>
    <row r="113" spans="1:8" s="4" customFormat="1" ht="12.75">
      <c r="A113" s="4" t="s">
        <v>340</v>
      </c>
      <c r="C113" s="42" t="str">
        <f>IF(Source!AP12&lt;&gt;"",Source!AP12," ")</f>
        <v> </v>
      </c>
      <c r="D113" s="42"/>
      <c r="E113" s="42"/>
      <c r="F113" s="42"/>
      <c r="G113" s="42"/>
      <c r="H113" s="4" t="str">
        <f>IF(Source!S12&lt;&gt;"",Source!S12," ")</f>
        <v> </v>
      </c>
    </row>
    <row r="114" spans="3:7" s="5" customFormat="1" ht="11.25">
      <c r="C114" s="43" t="s">
        <v>339</v>
      </c>
      <c r="D114" s="43"/>
      <c r="E114" s="43"/>
      <c r="F114" s="43"/>
      <c r="G114" s="43"/>
    </row>
  </sheetData>
  <mergeCells count="79">
    <mergeCell ref="A11:L11"/>
    <mergeCell ref="B14:L14"/>
    <mergeCell ref="B15:L15"/>
    <mergeCell ref="A6:L6"/>
    <mergeCell ref="A7:L7"/>
    <mergeCell ref="G9:H9"/>
    <mergeCell ref="I9:L9"/>
    <mergeCell ref="A17:L17"/>
    <mergeCell ref="G20:H20"/>
    <mergeCell ref="I20:J20"/>
    <mergeCell ref="C21:F21"/>
    <mergeCell ref="G21:H21"/>
    <mergeCell ref="I21:J21"/>
    <mergeCell ref="K21:L21"/>
    <mergeCell ref="C22:F22"/>
    <mergeCell ref="G22:H22"/>
    <mergeCell ref="I22:J22"/>
    <mergeCell ref="K22:L22"/>
    <mergeCell ref="C23:F23"/>
    <mergeCell ref="G23:H23"/>
    <mergeCell ref="I23:J23"/>
    <mergeCell ref="K23:L23"/>
    <mergeCell ref="C24:F24"/>
    <mergeCell ref="G24:H24"/>
    <mergeCell ref="I24:J24"/>
    <mergeCell ref="K24:L24"/>
    <mergeCell ref="C25:F25"/>
    <mergeCell ref="G25:H25"/>
    <mergeCell ref="I25:J25"/>
    <mergeCell ref="K25:L25"/>
    <mergeCell ref="C26:F26"/>
    <mergeCell ref="G26:H26"/>
    <mergeCell ref="I26:J26"/>
    <mergeCell ref="K26:L26"/>
    <mergeCell ref="C27:F27"/>
    <mergeCell ref="G27:H27"/>
    <mergeCell ref="I27:J27"/>
    <mergeCell ref="K27:L27"/>
    <mergeCell ref="A29:C29"/>
    <mergeCell ref="J83:K83"/>
    <mergeCell ref="G83:H83"/>
    <mergeCell ref="J86:K86"/>
    <mergeCell ref="G86:H86"/>
    <mergeCell ref="D88:K88"/>
    <mergeCell ref="C89:I89"/>
    <mergeCell ref="J89:K89"/>
    <mergeCell ref="C90:I90"/>
    <mergeCell ref="J90:K90"/>
    <mergeCell ref="C91:I91"/>
    <mergeCell ref="J91:K91"/>
    <mergeCell ref="C92:I92"/>
    <mergeCell ref="J92:K92"/>
    <mergeCell ref="C93:I93"/>
    <mergeCell ref="J93:K93"/>
    <mergeCell ref="C94:I94"/>
    <mergeCell ref="J94:K94"/>
    <mergeCell ref="C95:I95"/>
    <mergeCell ref="J95:K95"/>
    <mergeCell ref="C96:I96"/>
    <mergeCell ref="J96:K96"/>
    <mergeCell ref="D98:K98"/>
    <mergeCell ref="C99:I99"/>
    <mergeCell ref="J99:K99"/>
    <mergeCell ref="C100:I100"/>
    <mergeCell ref="J100:K100"/>
    <mergeCell ref="C101:I101"/>
    <mergeCell ref="J101:K101"/>
    <mergeCell ref="C102:I102"/>
    <mergeCell ref="J102:K102"/>
    <mergeCell ref="C103:I103"/>
    <mergeCell ref="J103:K103"/>
    <mergeCell ref="C104:I104"/>
    <mergeCell ref="J104:K104"/>
    <mergeCell ref="C105:I105"/>
    <mergeCell ref="J105:K105"/>
    <mergeCell ref="C106:I106"/>
    <mergeCell ref="J106:K106"/>
    <mergeCell ref="C111:G111"/>
    <mergeCell ref="C114:G114"/>
  </mergeCells>
  <printOptions/>
  <pageMargins left="0.590551181102362" right="0.393700787401575" top="0.393700787401575" bottom="0.393700787401575" header="0.196850393700787" footer="0.196850393700787"/>
  <pageSetup horizontalDpi="600" verticalDpi="600" orientation="portrait" paperSize="9" scale="60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2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21359</v>
      </c>
    </row>
    <row r="12" spans="1:103" ht="12.75">
      <c r="A12" s="1">
        <v>1</v>
      </c>
      <c r="B12" s="1">
        <v>1</v>
      </c>
      <c r="C12" s="1">
        <v>0</v>
      </c>
      <c r="D12" s="1">
        <f>ROW(A59)</f>
        <v>59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4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-1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7507084</v>
      </c>
      <c r="BE12" s="1" t="s">
        <v>7</v>
      </c>
      <c r="BF12" s="1" t="s">
        <v>8</v>
      </c>
      <c r="BG12" s="1">
        <v>5677303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1</v>
      </c>
      <c r="BZ12" s="1">
        <v>0</v>
      </c>
      <c r="CA12" s="1">
        <v>5439773</v>
      </c>
      <c r="CB12" s="1">
        <v>5439769</v>
      </c>
      <c r="CC12" s="1">
        <v>5439767</v>
      </c>
      <c r="CD12" s="1">
        <v>5439765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5633627</v>
      </c>
      <c r="CW12" s="1">
        <v>7252965</v>
      </c>
      <c r="CX12" s="1">
        <v>7431141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B59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Устройство временной дороги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451935.71</v>
      </c>
      <c r="P18" s="2">
        <f t="shared" si="0"/>
        <v>370179.8</v>
      </c>
      <c r="Q18" s="2">
        <f t="shared" si="0"/>
        <v>63259.28</v>
      </c>
      <c r="R18" s="2">
        <f t="shared" si="0"/>
        <v>9151.27</v>
      </c>
      <c r="S18" s="2">
        <f t="shared" si="0"/>
        <v>18496.63</v>
      </c>
      <c r="T18" s="2">
        <f t="shared" si="0"/>
        <v>0</v>
      </c>
      <c r="U18" s="2">
        <f t="shared" si="0"/>
        <v>253.74</v>
      </c>
      <c r="V18" s="2">
        <f t="shared" si="0"/>
        <v>745.7</v>
      </c>
      <c r="W18" s="2">
        <f t="shared" si="0"/>
        <v>0</v>
      </c>
      <c r="X18" s="2">
        <f t="shared" si="0"/>
        <v>36871.08</v>
      </c>
      <c r="Y18" s="2">
        <f t="shared" si="0"/>
        <v>26231.56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ROW(A33)</f>
        <v>33</v>
      </c>
      <c r="E20" s="1"/>
      <c r="F20" s="1" t="s">
        <v>13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B33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451935.71</v>
      </c>
      <c r="P22" s="2">
        <f t="shared" si="1"/>
        <v>370179.8</v>
      </c>
      <c r="Q22" s="2">
        <f t="shared" si="1"/>
        <v>63259.28</v>
      </c>
      <c r="R22" s="2">
        <f t="shared" si="1"/>
        <v>9151.27</v>
      </c>
      <c r="S22" s="2">
        <f t="shared" si="1"/>
        <v>18496.63</v>
      </c>
      <c r="T22" s="2">
        <f t="shared" si="1"/>
        <v>0</v>
      </c>
      <c r="U22" s="2">
        <f t="shared" si="1"/>
        <v>253.74</v>
      </c>
      <c r="V22" s="2">
        <f t="shared" si="1"/>
        <v>745.7</v>
      </c>
      <c r="W22" s="2">
        <f t="shared" si="1"/>
        <v>0</v>
      </c>
      <c r="X22" s="2">
        <f t="shared" si="1"/>
        <v>36871.08</v>
      </c>
      <c r="Y22" s="2">
        <f t="shared" si="1"/>
        <v>26231.56</v>
      </c>
      <c r="Z22" s="2">
        <f t="shared" si="1"/>
        <v>0</v>
      </c>
      <c r="AA22" s="2">
        <f t="shared" si="1"/>
        <v>0</v>
      </c>
      <c r="AB22" s="2">
        <f t="shared" si="1"/>
        <v>451935.71</v>
      </c>
      <c r="AC22" s="2">
        <f t="shared" si="1"/>
        <v>370179.8</v>
      </c>
      <c r="AD22" s="2">
        <f t="shared" si="1"/>
        <v>63259.28</v>
      </c>
      <c r="AE22" s="2">
        <f t="shared" si="1"/>
        <v>9151.27</v>
      </c>
      <c r="AF22" s="2">
        <f t="shared" si="1"/>
        <v>18496.63</v>
      </c>
      <c r="AG22" s="2">
        <f t="shared" si="1"/>
        <v>0</v>
      </c>
      <c r="AH22" s="2">
        <f t="shared" si="1"/>
        <v>253.74</v>
      </c>
      <c r="AI22" s="2">
        <f t="shared" si="1"/>
        <v>745.7</v>
      </c>
      <c r="AJ22" s="2">
        <f t="shared" si="1"/>
        <v>0</v>
      </c>
      <c r="AK22" s="2">
        <f t="shared" si="1"/>
        <v>36871.08</v>
      </c>
      <c r="AL22" s="2">
        <f t="shared" si="1"/>
        <v>26231.56</v>
      </c>
      <c r="AM22" s="2">
        <f t="shared" si="1"/>
        <v>0</v>
      </c>
    </row>
    <row r="24" spans="1:144" ht="12.75">
      <c r="A24">
        <v>17</v>
      </c>
      <c r="B24">
        <v>1</v>
      </c>
      <c r="C24">
        <f>ROW(SmtRes!A2)</f>
        <v>2</v>
      </c>
      <c r="E24" t="s">
        <v>15</v>
      </c>
      <c r="F24" t="s">
        <v>16</v>
      </c>
      <c r="G24" t="s">
        <v>17</v>
      </c>
      <c r="H24" t="s">
        <v>18</v>
      </c>
      <c r="I24">
        <v>1.675</v>
      </c>
      <c r="J24">
        <v>0</v>
      </c>
      <c r="O24">
        <f aca="true" t="shared" si="2" ref="O24:O31">ROUND(CP24,2)</f>
        <v>216.51</v>
      </c>
      <c r="P24">
        <f aca="true" t="shared" si="3" ref="P24:P31">ROUND(CQ24*I24,2)</f>
        <v>0</v>
      </c>
      <c r="Q24">
        <f aca="true" t="shared" si="4" ref="Q24:Q31">ROUND(CR24*I24,2)</f>
        <v>216.51</v>
      </c>
      <c r="R24">
        <f aca="true" t="shared" si="5" ref="R24:R31">ROUND(CS24*I24,2)</f>
        <v>75.44</v>
      </c>
      <c r="S24">
        <f aca="true" t="shared" si="6" ref="S24:S31">ROUND(CT24*I24,2)</f>
        <v>0</v>
      </c>
      <c r="T24">
        <f aca="true" t="shared" si="7" ref="T24:T31">ROUND(CU24*I24,2)</f>
        <v>0</v>
      </c>
      <c r="U24">
        <f aca="true" t="shared" si="8" ref="U24:U31">ROUND(CV24*I24,2)</f>
        <v>0</v>
      </c>
      <c r="V24">
        <f aca="true" t="shared" si="9" ref="V24:V31">ROUND(CW24*I24,2)</f>
        <v>0.64</v>
      </c>
      <c r="W24">
        <f aca="true" t="shared" si="10" ref="W24:W31">ROUND(CX24*I24,2)</f>
        <v>0</v>
      </c>
      <c r="X24">
        <f aca="true" t="shared" si="11" ref="X24:Y31">ROUND(CY24,2)</f>
        <v>67.37</v>
      </c>
      <c r="Y24">
        <f t="shared" si="11"/>
        <v>37.72</v>
      </c>
      <c r="AA24">
        <v>0</v>
      </c>
      <c r="AB24">
        <f aca="true" t="shared" si="12" ref="AB24:AB31">(AC24+AD24+AF24)</f>
        <v>23.29</v>
      </c>
      <c r="AC24">
        <f aca="true" t="shared" si="13" ref="AC24:AJ31">AL24</f>
        <v>0</v>
      </c>
      <c r="AD24">
        <f t="shared" si="13"/>
        <v>23.29</v>
      </c>
      <c r="AE24">
        <f t="shared" si="13"/>
        <v>5.13</v>
      </c>
      <c r="AF24">
        <f t="shared" si="13"/>
        <v>0</v>
      </c>
      <c r="AG24">
        <f t="shared" si="13"/>
        <v>0</v>
      </c>
      <c r="AH24">
        <f t="shared" si="13"/>
        <v>0</v>
      </c>
      <c r="AI24">
        <f t="shared" si="13"/>
        <v>0.38</v>
      </c>
      <c r="AJ24">
        <f t="shared" si="13"/>
        <v>0</v>
      </c>
      <c r="AK24">
        <v>23.29</v>
      </c>
      <c r="AL24">
        <v>0</v>
      </c>
      <c r="AM24">
        <v>23.29</v>
      </c>
      <c r="AN24">
        <v>5.13</v>
      </c>
      <c r="AO24">
        <v>0</v>
      </c>
      <c r="AP24">
        <v>0</v>
      </c>
      <c r="AQ24">
        <v>0</v>
      </c>
      <c r="AR24">
        <v>0.38</v>
      </c>
      <c r="AS24">
        <v>0</v>
      </c>
      <c r="AT24">
        <v>89.3</v>
      </c>
      <c r="AU24">
        <v>50</v>
      </c>
      <c r="AV24">
        <v>1</v>
      </c>
      <c r="AW24">
        <v>1</v>
      </c>
      <c r="AX24">
        <v>1</v>
      </c>
      <c r="AY24">
        <v>1</v>
      </c>
      <c r="AZ24">
        <v>6.25</v>
      </c>
      <c r="BA24">
        <v>8.78</v>
      </c>
      <c r="BB24">
        <v>5.55</v>
      </c>
      <c r="BC24">
        <v>1</v>
      </c>
      <c r="BH24">
        <v>0</v>
      </c>
      <c r="BI24">
        <v>1</v>
      </c>
      <c r="BJ24" t="s">
        <v>19</v>
      </c>
      <c r="BM24">
        <v>1</v>
      </c>
      <c r="BN24">
        <v>0</v>
      </c>
      <c r="BO24" t="s">
        <v>16</v>
      </c>
      <c r="BP24">
        <v>1</v>
      </c>
      <c r="BQ24">
        <v>2</v>
      </c>
      <c r="BR24">
        <v>0</v>
      </c>
      <c r="BS24">
        <v>8.78</v>
      </c>
      <c r="BT24">
        <v>1</v>
      </c>
      <c r="BU24">
        <v>1</v>
      </c>
      <c r="BV24">
        <v>1</v>
      </c>
      <c r="BW24">
        <v>1</v>
      </c>
      <c r="BX24">
        <v>1</v>
      </c>
      <c r="CF24">
        <v>0</v>
      </c>
      <c r="CG24">
        <v>0</v>
      </c>
      <c r="CM24">
        <v>0</v>
      </c>
      <c r="CO24">
        <v>0</v>
      </c>
      <c r="CP24">
        <f aca="true" t="shared" si="14" ref="CP24:CP31">(P24+Q24+S24)</f>
        <v>216.51</v>
      </c>
      <c r="CQ24">
        <f aca="true" t="shared" si="15" ref="CQ24:CQ31">(AC24)*BC24</f>
        <v>0</v>
      </c>
      <c r="CR24">
        <f aca="true" t="shared" si="16" ref="CR24:CR31">(AD24)*BB24</f>
        <v>129.2595</v>
      </c>
      <c r="CS24">
        <f aca="true" t="shared" si="17" ref="CS24:CS31">(AE24)*BS24</f>
        <v>45.041399999999996</v>
      </c>
      <c r="CT24">
        <f aca="true" t="shared" si="18" ref="CT24:CT31">(AF24)*BA24</f>
        <v>0</v>
      </c>
      <c r="CU24">
        <f aca="true" t="shared" si="19" ref="CU24:CX31">(AG24)*BT24</f>
        <v>0</v>
      </c>
      <c r="CV24">
        <f t="shared" si="19"/>
        <v>0</v>
      </c>
      <c r="CW24">
        <f t="shared" si="19"/>
        <v>0.38</v>
      </c>
      <c r="CX24">
        <f t="shared" si="19"/>
        <v>0</v>
      </c>
      <c r="CY24">
        <f aca="true" t="shared" si="20" ref="CY24:CY31">(((S24+R24)*AT24)/100)</f>
        <v>67.36792</v>
      </c>
      <c r="CZ24">
        <f aca="true" t="shared" si="21" ref="CZ24:CZ31">(((S24+R24)*AU24)/100)</f>
        <v>37.72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18</v>
      </c>
      <c r="DW24" t="s">
        <v>20</v>
      </c>
      <c r="DX24">
        <v>1000</v>
      </c>
      <c r="EE24">
        <v>5677315</v>
      </c>
      <c r="EF24">
        <v>2</v>
      </c>
      <c r="EG24" t="s">
        <v>21</v>
      </c>
      <c r="EH24">
        <v>0</v>
      </c>
      <c r="EJ24">
        <v>1</v>
      </c>
      <c r="EK24">
        <v>1</v>
      </c>
      <c r="EL24" t="s">
        <v>22</v>
      </c>
      <c r="EM24" t="s">
        <v>23</v>
      </c>
    </row>
    <row r="25" spans="1:144" ht="12.75">
      <c r="A25">
        <v>17</v>
      </c>
      <c r="B25">
        <v>1</v>
      </c>
      <c r="C25">
        <f>ROW(SmtRes!A10)</f>
        <v>10</v>
      </c>
      <c r="E25" t="s">
        <v>24</v>
      </c>
      <c r="F25" t="s">
        <v>25</v>
      </c>
      <c r="G25" t="s">
        <v>26</v>
      </c>
      <c r="H25" t="s">
        <v>27</v>
      </c>
      <c r="I25">
        <v>1.675</v>
      </c>
      <c r="J25">
        <v>0</v>
      </c>
      <c r="O25">
        <f t="shared" si="2"/>
        <v>90871.33</v>
      </c>
      <c r="P25">
        <f t="shared" si="3"/>
        <v>75300.43</v>
      </c>
      <c r="Q25">
        <f t="shared" si="4"/>
        <v>13716.85</v>
      </c>
      <c r="R25">
        <f t="shared" si="5"/>
        <v>2611.73</v>
      </c>
      <c r="S25">
        <f t="shared" si="6"/>
        <v>1854.05</v>
      </c>
      <c r="T25">
        <f t="shared" si="7"/>
        <v>0</v>
      </c>
      <c r="U25">
        <f t="shared" si="8"/>
        <v>26.33</v>
      </c>
      <c r="V25">
        <f t="shared" si="9"/>
        <v>23.25</v>
      </c>
      <c r="W25">
        <f t="shared" si="10"/>
        <v>0</v>
      </c>
      <c r="X25">
        <f t="shared" si="11"/>
        <v>5960.92</v>
      </c>
      <c r="Y25">
        <f t="shared" si="11"/>
        <v>4242.49</v>
      </c>
      <c r="AA25">
        <v>0</v>
      </c>
      <c r="AB25">
        <f t="shared" si="12"/>
        <v>8880.93</v>
      </c>
      <c r="AC25">
        <f t="shared" si="13"/>
        <v>6611.1</v>
      </c>
      <c r="AD25">
        <f t="shared" si="13"/>
        <v>2143.76</v>
      </c>
      <c r="AE25">
        <f t="shared" si="13"/>
        <v>177.59</v>
      </c>
      <c r="AF25">
        <f t="shared" si="13"/>
        <v>126.07</v>
      </c>
      <c r="AG25">
        <f t="shared" si="13"/>
        <v>0</v>
      </c>
      <c r="AH25">
        <f t="shared" si="13"/>
        <v>15.72</v>
      </c>
      <c r="AI25">
        <f t="shared" si="13"/>
        <v>13.88</v>
      </c>
      <c r="AJ25">
        <f t="shared" si="13"/>
        <v>0</v>
      </c>
      <c r="AK25">
        <v>8880.93</v>
      </c>
      <c r="AL25">
        <v>6611.1</v>
      </c>
      <c r="AM25">
        <v>2143.76</v>
      </c>
      <c r="AN25">
        <v>177.59</v>
      </c>
      <c r="AO25">
        <v>126.07</v>
      </c>
      <c r="AP25">
        <v>0</v>
      </c>
      <c r="AQ25">
        <v>15.72</v>
      </c>
      <c r="AR25">
        <v>13.88</v>
      </c>
      <c r="AS25">
        <v>0</v>
      </c>
      <c r="AT25">
        <v>133.48</v>
      </c>
      <c r="AU25">
        <v>95</v>
      </c>
      <c r="AV25">
        <v>1</v>
      </c>
      <c r="AW25">
        <v>1</v>
      </c>
      <c r="AX25">
        <v>1</v>
      </c>
      <c r="AY25">
        <v>1</v>
      </c>
      <c r="AZ25">
        <v>6.29</v>
      </c>
      <c r="BA25">
        <v>8.78</v>
      </c>
      <c r="BB25">
        <v>3.82</v>
      </c>
      <c r="BC25">
        <v>6.8</v>
      </c>
      <c r="BH25">
        <v>0</v>
      </c>
      <c r="BI25">
        <v>1</v>
      </c>
      <c r="BJ25" t="s">
        <v>28</v>
      </c>
      <c r="BM25">
        <v>30</v>
      </c>
      <c r="BN25">
        <v>0</v>
      </c>
      <c r="BO25" t="s">
        <v>25</v>
      </c>
      <c r="BP25">
        <v>1</v>
      </c>
      <c r="BQ25">
        <v>2</v>
      </c>
      <c r="BR25">
        <v>0</v>
      </c>
      <c r="BS25">
        <v>8.78</v>
      </c>
      <c r="BT25">
        <v>1</v>
      </c>
      <c r="BU25">
        <v>1</v>
      </c>
      <c r="BV25">
        <v>1</v>
      </c>
      <c r="BW25">
        <v>1</v>
      </c>
      <c r="BX25">
        <v>1</v>
      </c>
      <c r="CF25">
        <v>0</v>
      </c>
      <c r="CG25">
        <v>0</v>
      </c>
      <c r="CM25">
        <v>0</v>
      </c>
      <c r="CO25">
        <v>0</v>
      </c>
      <c r="CP25">
        <f t="shared" si="14"/>
        <v>90871.33</v>
      </c>
      <c r="CQ25">
        <f t="shared" si="15"/>
        <v>44955.48</v>
      </c>
      <c r="CR25">
        <f t="shared" si="16"/>
        <v>8189.163200000001</v>
      </c>
      <c r="CS25">
        <f t="shared" si="17"/>
        <v>1559.2402</v>
      </c>
      <c r="CT25">
        <f t="shared" si="18"/>
        <v>1106.8945999999999</v>
      </c>
      <c r="CU25">
        <f t="shared" si="19"/>
        <v>0</v>
      </c>
      <c r="CV25">
        <f t="shared" si="19"/>
        <v>15.72</v>
      </c>
      <c r="CW25">
        <f t="shared" si="19"/>
        <v>13.88</v>
      </c>
      <c r="CX25">
        <f t="shared" si="19"/>
        <v>0</v>
      </c>
      <c r="CY25">
        <f t="shared" si="20"/>
        <v>5960.923143999999</v>
      </c>
      <c r="CZ25">
        <f t="shared" si="21"/>
        <v>4242.491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1007</v>
      </c>
      <c r="DV25" t="s">
        <v>27</v>
      </c>
      <c r="DW25" t="s">
        <v>29</v>
      </c>
      <c r="DX25">
        <v>100</v>
      </c>
      <c r="EE25">
        <v>5677342</v>
      </c>
      <c r="EF25">
        <v>2</v>
      </c>
      <c r="EG25" t="s">
        <v>21</v>
      </c>
      <c r="EH25">
        <v>0</v>
      </c>
      <c r="EJ25">
        <v>1</v>
      </c>
      <c r="EK25">
        <v>30</v>
      </c>
      <c r="EL25" t="s">
        <v>30</v>
      </c>
      <c r="EM25" t="s">
        <v>31</v>
      </c>
    </row>
    <row r="26" spans="1:144" ht="12.75">
      <c r="A26">
        <v>17</v>
      </c>
      <c r="B26">
        <v>1</v>
      </c>
      <c r="C26">
        <f>ROW(SmtRes!A16)</f>
        <v>16</v>
      </c>
      <c r="E26" t="s">
        <v>32</v>
      </c>
      <c r="F26" t="s">
        <v>33</v>
      </c>
      <c r="G26" t="s">
        <v>34</v>
      </c>
      <c r="H26" t="s">
        <v>27</v>
      </c>
      <c r="I26">
        <v>1.9</v>
      </c>
      <c r="J26">
        <v>0</v>
      </c>
      <c r="O26">
        <f t="shared" si="2"/>
        <v>19270.57</v>
      </c>
      <c r="P26">
        <f t="shared" si="3"/>
        <v>0</v>
      </c>
      <c r="Q26">
        <f t="shared" si="4"/>
        <v>14011.4</v>
      </c>
      <c r="R26">
        <f t="shared" si="5"/>
        <v>2487.29</v>
      </c>
      <c r="S26">
        <f t="shared" si="6"/>
        <v>5259.17</v>
      </c>
      <c r="T26">
        <f t="shared" si="7"/>
        <v>0</v>
      </c>
      <c r="U26">
        <f t="shared" si="8"/>
        <v>72.69</v>
      </c>
      <c r="V26">
        <f t="shared" si="9"/>
        <v>31.08</v>
      </c>
      <c r="W26">
        <f t="shared" si="10"/>
        <v>0</v>
      </c>
      <c r="X26">
        <f t="shared" si="11"/>
        <v>10339.97</v>
      </c>
      <c r="Y26">
        <f t="shared" si="11"/>
        <v>7359.14</v>
      </c>
      <c r="AA26">
        <v>0</v>
      </c>
      <c r="AB26">
        <f t="shared" si="12"/>
        <v>1957.67</v>
      </c>
      <c r="AC26">
        <f t="shared" si="13"/>
        <v>0</v>
      </c>
      <c r="AD26">
        <f t="shared" si="13"/>
        <v>1642.41</v>
      </c>
      <c r="AE26">
        <f t="shared" si="13"/>
        <v>149.1</v>
      </c>
      <c r="AF26">
        <f t="shared" si="13"/>
        <v>315.26</v>
      </c>
      <c r="AG26">
        <f t="shared" si="13"/>
        <v>0</v>
      </c>
      <c r="AH26">
        <f t="shared" si="13"/>
        <v>38.26</v>
      </c>
      <c r="AI26">
        <f t="shared" si="13"/>
        <v>16.36</v>
      </c>
      <c r="AJ26">
        <f t="shared" si="13"/>
        <v>0</v>
      </c>
      <c r="AK26">
        <v>1957.67</v>
      </c>
      <c r="AL26">
        <v>0</v>
      </c>
      <c r="AM26">
        <v>1642.41</v>
      </c>
      <c r="AN26">
        <v>149.1</v>
      </c>
      <c r="AO26">
        <v>315.26</v>
      </c>
      <c r="AP26">
        <v>0</v>
      </c>
      <c r="AQ26">
        <v>38.26</v>
      </c>
      <c r="AR26">
        <v>16.36</v>
      </c>
      <c r="AS26">
        <v>0</v>
      </c>
      <c r="AT26">
        <v>133.48</v>
      </c>
      <c r="AU26">
        <v>95</v>
      </c>
      <c r="AV26">
        <v>1</v>
      </c>
      <c r="AW26">
        <v>1</v>
      </c>
      <c r="AX26">
        <v>1</v>
      </c>
      <c r="AY26">
        <v>1</v>
      </c>
      <c r="AZ26">
        <v>6.36</v>
      </c>
      <c r="BA26">
        <v>8.78</v>
      </c>
      <c r="BB26">
        <v>4.49</v>
      </c>
      <c r="BC26">
        <v>1</v>
      </c>
      <c r="BH26">
        <v>0</v>
      </c>
      <c r="BI26">
        <v>1</v>
      </c>
      <c r="BJ26" t="s">
        <v>35</v>
      </c>
      <c r="BM26">
        <v>30</v>
      </c>
      <c r="BN26">
        <v>0</v>
      </c>
      <c r="BO26" t="s">
        <v>33</v>
      </c>
      <c r="BP26">
        <v>1</v>
      </c>
      <c r="BQ26">
        <v>2</v>
      </c>
      <c r="BR26">
        <v>0</v>
      </c>
      <c r="BS26">
        <v>8.78</v>
      </c>
      <c r="BT26">
        <v>1</v>
      </c>
      <c r="BU26">
        <v>1</v>
      </c>
      <c r="BV26">
        <v>1</v>
      </c>
      <c r="BW26">
        <v>1</v>
      </c>
      <c r="BX26">
        <v>1</v>
      </c>
      <c r="CF26">
        <v>0</v>
      </c>
      <c r="CG26">
        <v>0</v>
      </c>
      <c r="CM26">
        <v>0</v>
      </c>
      <c r="CO26">
        <v>0</v>
      </c>
      <c r="CP26">
        <f t="shared" si="14"/>
        <v>19270.57</v>
      </c>
      <c r="CQ26">
        <f t="shared" si="15"/>
        <v>0</v>
      </c>
      <c r="CR26">
        <f t="shared" si="16"/>
        <v>7374.420900000001</v>
      </c>
      <c r="CS26">
        <f t="shared" si="17"/>
        <v>1309.098</v>
      </c>
      <c r="CT26">
        <f t="shared" si="18"/>
        <v>2767.9827999999998</v>
      </c>
      <c r="CU26">
        <f t="shared" si="19"/>
        <v>0</v>
      </c>
      <c r="CV26">
        <f t="shared" si="19"/>
        <v>38.26</v>
      </c>
      <c r="CW26">
        <f t="shared" si="19"/>
        <v>16.36</v>
      </c>
      <c r="CX26">
        <f t="shared" si="19"/>
        <v>0</v>
      </c>
      <c r="CY26">
        <f t="shared" si="20"/>
        <v>10339.974807999999</v>
      </c>
      <c r="CZ26">
        <f t="shared" si="21"/>
        <v>7359.137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1007</v>
      </c>
      <c r="DV26" t="s">
        <v>27</v>
      </c>
      <c r="DW26" t="s">
        <v>36</v>
      </c>
      <c r="DX26">
        <v>100</v>
      </c>
      <c r="EE26">
        <v>5677342</v>
      </c>
      <c r="EF26">
        <v>2</v>
      </c>
      <c r="EG26" t="s">
        <v>21</v>
      </c>
      <c r="EH26">
        <v>0</v>
      </c>
      <c r="EJ26">
        <v>1</v>
      </c>
      <c r="EK26">
        <v>30</v>
      </c>
      <c r="EL26" t="s">
        <v>30</v>
      </c>
      <c r="EM26" t="s">
        <v>31</v>
      </c>
    </row>
    <row r="27" spans="1:144" ht="12.75">
      <c r="A27">
        <v>17</v>
      </c>
      <c r="B27">
        <v>1</v>
      </c>
      <c r="C27">
        <f>ROW(SmtRes!A23)</f>
        <v>23</v>
      </c>
      <c r="E27" t="s">
        <v>37</v>
      </c>
      <c r="F27" t="s">
        <v>38</v>
      </c>
      <c r="G27" t="s">
        <v>39</v>
      </c>
      <c r="H27" t="s">
        <v>27</v>
      </c>
      <c r="I27">
        <v>1.9</v>
      </c>
      <c r="J27">
        <v>0</v>
      </c>
      <c r="O27">
        <f t="shared" si="2"/>
        <v>1481781.85</v>
      </c>
      <c r="P27">
        <f t="shared" si="3"/>
        <v>1464438.35</v>
      </c>
      <c r="Q27">
        <f t="shared" si="4"/>
        <v>10181.75</v>
      </c>
      <c r="R27">
        <f t="shared" si="5"/>
        <v>2501.97</v>
      </c>
      <c r="S27">
        <f t="shared" si="6"/>
        <v>7161.75</v>
      </c>
      <c r="T27">
        <f t="shared" si="7"/>
        <v>0</v>
      </c>
      <c r="U27">
        <f t="shared" si="8"/>
        <v>97.34</v>
      </c>
      <c r="V27">
        <f t="shared" si="9"/>
        <v>21.15</v>
      </c>
      <c r="W27">
        <f t="shared" si="10"/>
        <v>0</v>
      </c>
      <c r="X27">
        <f t="shared" si="11"/>
        <v>12899.13</v>
      </c>
      <c r="Y27">
        <f t="shared" si="11"/>
        <v>9180.53</v>
      </c>
      <c r="AA27">
        <v>0</v>
      </c>
      <c r="AB27">
        <f t="shared" si="12"/>
        <v>98146.58</v>
      </c>
      <c r="AC27">
        <f t="shared" si="13"/>
        <v>96465.21</v>
      </c>
      <c r="AD27">
        <f t="shared" si="13"/>
        <v>1252.06</v>
      </c>
      <c r="AE27">
        <f t="shared" si="13"/>
        <v>149.98</v>
      </c>
      <c r="AF27">
        <f t="shared" si="13"/>
        <v>429.31</v>
      </c>
      <c r="AG27">
        <f t="shared" si="13"/>
        <v>0</v>
      </c>
      <c r="AH27">
        <f t="shared" si="13"/>
        <v>51.23</v>
      </c>
      <c r="AI27">
        <f t="shared" si="13"/>
        <v>11.13</v>
      </c>
      <c r="AJ27">
        <f t="shared" si="13"/>
        <v>0</v>
      </c>
      <c r="AK27">
        <v>98146.58</v>
      </c>
      <c r="AL27">
        <v>96465.21</v>
      </c>
      <c r="AM27">
        <v>1252.06</v>
      </c>
      <c r="AN27">
        <v>149.98</v>
      </c>
      <c r="AO27">
        <v>429.31</v>
      </c>
      <c r="AP27">
        <v>0</v>
      </c>
      <c r="AQ27">
        <v>51.23</v>
      </c>
      <c r="AR27">
        <v>11.13</v>
      </c>
      <c r="AS27">
        <v>0</v>
      </c>
      <c r="AT27">
        <v>133.48</v>
      </c>
      <c r="AU27">
        <v>95</v>
      </c>
      <c r="AV27">
        <v>1</v>
      </c>
      <c r="AW27">
        <v>1</v>
      </c>
      <c r="AX27">
        <v>1</v>
      </c>
      <c r="AY27">
        <v>1</v>
      </c>
      <c r="AZ27">
        <v>7.95</v>
      </c>
      <c r="BA27">
        <v>8.78</v>
      </c>
      <c r="BB27">
        <v>4.28</v>
      </c>
      <c r="BC27">
        <v>7.99</v>
      </c>
      <c r="BH27">
        <v>0</v>
      </c>
      <c r="BI27">
        <v>1</v>
      </c>
      <c r="BJ27" t="s">
        <v>40</v>
      </c>
      <c r="BM27">
        <v>30</v>
      </c>
      <c r="BN27">
        <v>0</v>
      </c>
      <c r="BO27" t="s">
        <v>38</v>
      </c>
      <c r="BP27">
        <v>1</v>
      </c>
      <c r="BQ27">
        <v>2</v>
      </c>
      <c r="BR27">
        <v>0</v>
      </c>
      <c r="BS27">
        <v>8.78</v>
      </c>
      <c r="BT27">
        <v>1</v>
      </c>
      <c r="BU27">
        <v>1</v>
      </c>
      <c r="BV27">
        <v>1</v>
      </c>
      <c r="BW27">
        <v>1</v>
      </c>
      <c r="BX27">
        <v>1</v>
      </c>
      <c r="CF27">
        <v>0</v>
      </c>
      <c r="CG27">
        <v>0</v>
      </c>
      <c r="CM27">
        <v>0</v>
      </c>
      <c r="CO27">
        <v>0</v>
      </c>
      <c r="CP27">
        <f t="shared" si="14"/>
        <v>1481781.85</v>
      </c>
      <c r="CQ27">
        <f t="shared" si="15"/>
        <v>770757.0279000001</v>
      </c>
      <c r="CR27">
        <f t="shared" si="16"/>
        <v>5358.8168000000005</v>
      </c>
      <c r="CS27">
        <f t="shared" si="17"/>
        <v>1316.8243999999997</v>
      </c>
      <c r="CT27">
        <f t="shared" si="18"/>
        <v>3769.3417999999997</v>
      </c>
      <c r="CU27">
        <f t="shared" si="19"/>
        <v>0</v>
      </c>
      <c r="CV27">
        <f t="shared" si="19"/>
        <v>51.23</v>
      </c>
      <c r="CW27">
        <f t="shared" si="19"/>
        <v>11.13</v>
      </c>
      <c r="CX27">
        <f t="shared" si="19"/>
        <v>0</v>
      </c>
      <c r="CY27">
        <f t="shared" si="20"/>
        <v>12899.133456</v>
      </c>
      <c r="CZ27">
        <f t="shared" si="21"/>
        <v>9180.534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1007</v>
      </c>
      <c r="DV27" t="s">
        <v>27</v>
      </c>
      <c r="DW27" t="s">
        <v>36</v>
      </c>
      <c r="DX27">
        <v>100</v>
      </c>
      <c r="EE27">
        <v>5677342</v>
      </c>
      <c r="EF27">
        <v>2</v>
      </c>
      <c r="EG27" t="s">
        <v>21</v>
      </c>
      <c r="EH27">
        <v>0</v>
      </c>
      <c r="EJ27">
        <v>1</v>
      </c>
      <c r="EK27">
        <v>30</v>
      </c>
      <c r="EL27" t="s">
        <v>30</v>
      </c>
      <c r="EM27" t="s">
        <v>31</v>
      </c>
    </row>
    <row r="28" spans="1:144" ht="12.75">
      <c r="A28">
        <v>18</v>
      </c>
      <c r="B28">
        <v>1</v>
      </c>
      <c r="E28" t="s">
        <v>41</v>
      </c>
      <c r="F28" t="s">
        <v>42</v>
      </c>
      <c r="G28" t="s">
        <v>43</v>
      </c>
      <c r="H28" t="s">
        <v>44</v>
      </c>
      <c r="I28">
        <f>I27*J28</f>
        <v>-190</v>
      </c>
      <c r="J28">
        <v>-100</v>
      </c>
      <c r="O28">
        <f t="shared" si="2"/>
        <v>-1463448.4</v>
      </c>
      <c r="P28">
        <f t="shared" si="3"/>
        <v>-1463448.4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1"/>
        <v>0</v>
      </c>
      <c r="AA28">
        <v>0</v>
      </c>
      <c r="AB28">
        <f t="shared" si="12"/>
        <v>964</v>
      </c>
      <c r="AC28">
        <f t="shared" si="13"/>
        <v>964</v>
      </c>
      <c r="AD28">
        <f t="shared" si="13"/>
        <v>0</v>
      </c>
      <c r="AE28">
        <f t="shared" si="13"/>
        <v>0</v>
      </c>
      <c r="AF28">
        <f t="shared" si="13"/>
        <v>0</v>
      </c>
      <c r="AG28">
        <f t="shared" si="13"/>
        <v>0</v>
      </c>
      <c r="AH28">
        <f t="shared" si="13"/>
        <v>0</v>
      </c>
      <c r="AI28">
        <f t="shared" si="13"/>
        <v>0</v>
      </c>
      <c r="AJ28">
        <f t="shared" si="13"/>
        <v>0</v>
      </c>
      <c r="AK28">
        <v>964</v>
      </c>
      <c r="AL28">
        <v>964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133.48</v>
      </c>
      <c r="AU28">
        <v>95</v>
      </c>
      <c r="AV28">
        <v>1</v>
      </c>
      <c r="AW28">
        <v>1</v>
      </c>
      <c r="AX28">
        <v>1</v>
      </c>
      <c r="AY28">
        <v>1</v>
      </c>
      <c r="AZ28">
        <v>7.95</v>
      </c>
      <c r="BA28">
        <v>8.78</v>
      </c>
      <c r="BB28">
        <v>4.28</v>
      </c>
      <c r="BC28">
        <v>7.99</v>
      </c>
      <c r="BH28">
        <v>3</v>
      </c>
      <c r="BI28">
        <v>1</v>
      </c>
      <c r="BJ28" t="s">
        <v>45</v>
      </c>
      <c r="BM28">
        <v>30</v>
      </c>
      <c r="BN28">
        <v>0</v>
      </c>
      <c r="BO28" t="s">
        <v>38</v>
      </c>
      <c r="BP28">
        <v>1</v>
      </c>
      <c r="BQ28">
        <v>2</v>
      </c>
      <c r="BR28">
        <v>0</v>
      </c>
      <c r="BS28">
        <v>8.78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t="shared" si="14"/>
        <v>-1463448.4</v>
      </c>
      <c r="CQ28">
        <f t="shared" si="15"/>
        <v>7702.360000000001</v>
      </c>
      <c r="CR28">
        <f t="shared" si="16"/>
        <v>0</v>
      </c>
      <c r="CS28">
        <f t="shared" si="17"/>
        <v>0</v>
      </c>
      <c r="CT28">
        <f t="shared" si="18"/>
        <v>0</v>
      </c>
      <c r="CU28">
        <f t="shared" si="19"/>
        <v>0</v>
      </c>
      <c r="CV28">
        <f t="shared" si="19"/>
        <v>0</v>
      </c>
      <c r="CW28">
        <f t="shared" si="19"/>
        <v>0</v>
      </c>
      <c r="CX28">
        <f t="shared" si="19"/>
        <v>0</v>
      </c>
      <c r="CY28">
        <f t="shared" si="20"/>
        <v>0</v>
      </c>
      <c r="CZ28">
        <f t="shared" si="21"/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1007</v>
      </c>
      <c r="DV28" t="s">
        <v>44</v>
      </c>
      <c r="DW28" t="s">
        <v>44</v>
      </c>
      <c r="DX28">
        <v>1</v>
      </c>
      <c r="EE28">
        <v>5677342</v>
      </c>
      <c r="EF28">
        <v>2</v>
      </c>
      <c r="EG28" t="s">
        <v>21</v>
      </c>
      <c r="EH28">
        <v>0</v>
      </c>
      <c r="EJ28">
        <v>1</v>
      </c>
      <c r="EK28">
        <v>30</v>
      </c>
      <c r="EL28" t="s">
        <v>30</v>
      </c>
      <c r="EM28" t="s">
        <v>31</v>
      </c>
    </row>
    <row r="29" spans="1:144" ht="12.75">
      <c r="A29">
        <v>17</v>
      </c>
      <c r="B29">
        <v>1</v>
      </c>
      <c r="C29">
        <f>ROW(SmtRes!A30)</f>
        <v>30</v>
      </c>
      <c r="E29" t="s">
        <v>46</v>
      </c>
      <c r="F29" t="s">
        <v>38</v>
      </c>
      <c r="G29" t="s">
        <v>39</v>
      </c>
      <c r="H29" t="s">
        <v>27</v>
      </c>
      <c r="I29">
        <v>1.12</v>
      </c>
      <c r="J29">
        <v>0</v>
      </c>
      <c r="O29">
        <f t="shared" si="2"/>
        <v>873471.4</v>
      </c>
      <c r="P29">
        <f t="shared" si="3"/>
        <v>863247.87</v>
      </c>
      <c r="Q29">
        <f t="shared" si="4"/>
        <v>6001.87</v>
      </c>
      <c r="R29">
        <f t="shared" si="5"/>
        <v>1474.84</v>
      </c>
      <c r="S29">
        <f t="shared" si="6"/>
        <v>4221.66</v>
      </c>
      <c r="T29">
        <f t="shared" si="7"/>
        <v>0</v>
      </c>
      <c r="U29">
        <f t="shared" si="8"/>
        <v>57.38</v>
      </c>
      <c r="V29">
        <f t="shared" si="9"/>
        <v>12.47</v>
      </c>
      <c r="W29">
        <f t="shared" si="10"/>
        <v>0</v>
      </c>
      <c r="X29">
        <f t="shared" si="11"/>
        <v>7603.69</v>
      </c>
      <c r="Y29">
        <f t="shared" si="11"/>
        <v>5411.68</v>
      </c>
      <c r="AA29">
        <v>0</v>
      </c>
      <c r="AB29">
        <f t="shared" si="12"/>
        <v>98146.58</v>
      </c>
      <c r="AC29">
        <f t="shared" si="13"/>
        <v>96465.21</v>
      </c>
      <c r="AD29">
        <f t="shared" si="13"/>
        <v>1252.06</v>
      </c>
      <c r="AE29">
        <f t="shared" si="13"/>
        <v>149.98</v>
      </c>
      <c r="AF29">
        <f t="shared" si="13"/>
        <v>429.31</v>
      </c>
      <c r="AG29">
        <f t="shared" si="13"/>
        <v>0</v>
      </c>
      <c r="AH29">
        <f t="shared" si="13"/>
        <v>51.23</v>
      </c>
      <c r="AI29">
        <f t="shared" si="13"/>
        <v>11.13</v>
      </c>
      <c r="AJ29">
        <f t="shared" si="13"/>
        <v>0</v>
      </c>
      <c r="AK29">
        <v>98146.58</v>
      </c>
      <c r="AL29">
        <v>96465.21</v>
      </c>
      <c r="AM29">
        <v>1252.06</v>
      </c>
      <c r="AN29">
        <v>149.98</v>
      </c>
      <c r="AO29">
        <v>429.31</v>
      </c>
      <c r="AP29">
        <v>0</v>
      </c>
      <c r="AQ29">
        <v>51.23</v>
      </c>
      <c r="AR29">
        <v>11.13</v>
      </c>
      <c r="AS29">
        <v>0</v>
      </c>
      <c r="AT29">
        <v>133.48</v>
      </c>
      <c r="AU29">
        <v>95</v>
      </c>
      <c r="AV29">
        <v>1</v>
      </c>
      <c r="AW29">
        <v>1</v>
      </c>
      <c r="AX29">
        <v>1</v>
      </c>
      <c r="AY29">
        <v>1</v>
      </c>
      <c r="AZ29">
        <v>7.95</v>
      </c>
      <c r="BA29">
        <v>8.78</v>
      </c>
      <c r="BB29">
        <v>4.28</v>
      </c>
      <c r="BC29">
        <v>7.99</v>
      </c>
      <c r="BH29">
        <v>0</v>
      </c>
      <c r="BI29">
        <v>1</v>
      </c>
      <c r="BJ29" t="s">
        <v>40</v>
      </c>
      <c r="BM29">
        <v>30</v>
      </c>
      <c r="BN29">
        <v>0</v>
      </c>
      <c r="BO29" t="s">
        <v>38</v>
      </c>
      <c r="BP29">
        <v>1</v>
      </c>
      <c r="BQ29">
        <v>2</v>
      </c>
      <c r="BR29">
        <v>0</v>
      </c>
      <c r="BS29">
        <v>8.78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14"/>
        <v>873471.4</v>
      </c>
      <c r="CQ29">
        <f t="shared" si="15"/>
        <v>770757.0279000001</v>
      </c>
      <c r="CR29">
        <f t="shared" si="16"/>
        <v>5358.8168000000005</v>
      </c>
      <c r="CS29">
        <f t="shared" si="17"/>
        <v>1316.8243999999997</v>
      </c>
      <c r="CT29">
        <f t="shared" si="18"/>
        <v>3769.3417999999997</v>
      </c>
      <c r="CU29">
        <f t="shared" si="19"/>
        <v>0</v>
      </c>
      <c r="CV29">
        <f t="shared" si="19"/>
        <v>51.23</v>
      </c>
      <c r="CW29">
        <f t="shared" si="19"/>
        <v>11.13</v>
      </c>
      <c r="CX29">
        <f t="shared" si="19"/>
        <v>0</v>
      </c>
      <c r="CY29">
        <f t="shared" si="20"/>
        <v>7603.6882</v>
      </c>
      <c r="CZ29">
        <f t="shared" si="21"/>
        <v>5411.675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1007</v>
      </c>
      <c r="DV29" t="s">
        <v>27</v>
      </c>
      <c r="DW29" t="s">
        <v>36</v>
      </c>
      <c r="DX29">
        <v>100</v>
      </c>
      <c r="EE29">
        <v>5677342</v>
      </c>
      <c r="EF29">
        <v>2</v>
      </c>
      <c r="EG29" t="s">
        <v>21</v>
      </c>
      <c r="EH29">
        <v>0</v>
      </c>
      <c r="EJ29">
        <v>1</v>
      </c>
      <c r="EK29">
        <v>30</v>
      </c>
      <c r="EL29" t="s">
        <v>30</v>
      </c>
      <c r="EM29" t="s">
        <v>31</v>
      </c>
    </row>
    <row r="30" spans="1:144" ht="12.75">
      <c r="A30">
        <v>18</v>
      </c>
      <c r="B30">
        <v>1</v>
      </c>
      <c r="E30" t="s">
        <v>47</v>
      </c>
      <c r="F30" t="s">
        <v>42</v>
      </c>
      <c r="G30" t="s">
        <v>43</v>
      </c>
      <c r="H30" t="s">
        <v>44</v>
      </c>
      <c r="I30">
        <f>I29*J30</f>
        <v>-73.92</v>
      </c>
      <c r="J30">
        <v>-66</v>
      </c>
      <c r="O30">
        <f t="shared" si="2"/>
        <v>-569358.45</v>
      </c>
      <c r="P30">
        <f t="shared" si="3"/>
        <v>-569358.45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1"/>
        <v>0</v>
      </c>
      <c r="AA30">
        <v>0</v>
      </c>
      <c r="AB30">
        <f t="shared" si="12"/>
        <v>964</v>
      </c>
      <c r="AC30">
        <f t="shared" si="13"/>
        <v>964</v>
      </c>
      <c r="AD30">
        <f t="shared" si="13"/>
        <v>0</v>
      </c>
      <c r="AE30">
        <f t="shared" si="13"/>
        <v>0</v>
      </c>
      <c r="AF30">
        <f t="shared" si="13"/>
        <v>0</v>
      </c>
      <c r="AG30">
        <f t="shared" si="13"/>
        <v>0</v>
      </c>
      <c r="AH30">
        <f t="shared" si="13"/>
        <v>0</v>
      </c>
      <c r="AI30">
        <f t="shared" si="13"/>
        <v>0</v>
      </c>
      <c r="AJ30">
        <f t="shared" si="13"/>
        <v>0</v>
      </c>
      <c r="AK30">
        <v>0</v>
      </c>
      <c r="AL30">
        <v>964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133.48</v>
      </c>
      <c r="AU30">
        <v>95</v>
      </c>
      <c r="AV30">
        <v>1</v>
      </c>
      <c r="AW30">
        <v>1</v>
      </c>
      <c r="AX30">
        <v>1</v>
      </c>
      <c r="AY30">
        <v>1</v>
      </c>
      <c r="AZ30">
        <v>7.95</v>
      </c>
      <c r="BA30">
        <v>8.78</v>
      </c>
      <c r="BB30">
        <v>4.28</v>
      </c>
      <c r="BC30">
        <v>7.99</v>
      </c>
      <c r="BH30">
        <v>3</v>
      </c>
      <c r="BI30">
        <v>1</v>
      </c>
      <c r="BJ30" t="s">
        <v>45</v>
      </c>
      <c r="BM30">
        <v>30</v>
      </c>
      <c r="BN30">
        <v>0</v>
      </c>
      <c r="BO30" t="s">
        <v>38</v>
      </c>
      <c r="BP30">
        <v>1</v>
      </c>
      <c r="BQ30">
        <v>2</v>
      </c>
      <c r="BR30">
        <v>0</v>
      </c>
      <c r="BS30">
        <v>8.78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14"/>
        <v>-569358.45</v>
      </c>
      <c r="CQ30">
        <f t="shared" si="15"/>
        <v>7702.360000000001</v>
      </c>
      <c r="CR30">
        <f t="shared" si="16"/>
        <v>0</v>
      </c>
      <c r="CS30">
        <f t="shared" si="17"/>
        <v>0</v>
      </c>
      <c r="CT30">
        <f t="shared" si="18"/>
        <v>0</v>
      </c>
      <c r="CU30">
        <f t="shared" si="19"/>
        <v>0</v>
      </c>
      <c r="CV30">
        <f t="shared" si="19"/>
        <v>0</v>
      </c>
      <c r="CW30">
        <f t="shared" si="19"/>
        <v>0</v>
      </c>
      <c r="CX30">
        <f t="shared" si="19"/>
        <v>0</v>
      </c>
      <c r="CY30">
        <f t="shared" si="20"/>
        <v>0</v>
      </c>
      <c r="CZ30">
        <f t="shared" si="21"/>
        <v>0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44</v>
      </c>
      <c r="DW30" t="s">
        <v>44</v>
      </c>
      <c r="DX30">
        <v>1</v>
      </c>
      <c r="EE30">
        <v>5677342</v>
      </c>
      <c r="EF30">
        <v>2</v>
      </c>
      <c r="EG30" t="s">
        <v>21</v>
      </c>
      <c r="EH30">
        <v>0</v>
      </c>
      <c r="EJ30">
        <v>1</v>
      </c>
      <c r="EK30">
        <v>30</v>
      </c>
      <c r="EL30" t="s">
        <v>30</v>
      </c>
      <c r="EM30" t="s">
        <v>31</v>
      </c>
    </row>
    <row r="31" spans="1:144" ht="12.75">
      <c r="A31">
        <v>17</v>
      </c>
      <c r="B31">
        <v>1</v>
      </c>
      <c r="C31">
        <f>ROW(SmtRes!A32)</f>
        <v>32</v>
      </c>
      <c r="E31" t="s">
        <v>48</v>
      </c>
      <c r="F31" t="s">
        <v>49</v>
      </c>
      <c r="G31" t="s">
        <v>50</v>
      </c>
      <c r="H31" t="s">
        <v>51</v>
      </c>
      <c r="I31">
        <v>442.2</v>
      </c>
      <c r="J31">
        <v>0</v>
      </c>
      <c r="O31">
        <f t="shared" si="2"/>
        <v>19130.9</v>
      </c>
      <c r="P31">
        <f t="shared" si="3"/>
        <v>0</v>
      </c>
      <c r="Q31">
        <f t="shared" si="4"/>
        <v>19130.9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657.11</v>
      </c>
      <c r="W31">
        <f t="shared" si="10"/>
        <v>0</v>
      </c>
      <c r="X31">
        <f t="shared" si="11"/>
        <v>0</v>
      </c>
      <c r="Y31">
        <f t="shared" si="11"/>
        <v>0</v>
      </c>
      <c r="AA31">
        <v>0</v>
      </c>
      <c r="AB31">
        <f t="shared" si="12"/>
        <v>10.35</v>
      </c>
      <c r="AC31">
        <f t="shared" si="13"/>
        <v>0</v>
      </c>
      <c r="AD31">
        <f t="shared" si="13"/>
        <v>10.35</v>
      </c>
      <c r="AE31">
        <f t="shared" si="13"/>
        <v>0</v>
      </c>
      <c r="AF31">
        <f t="shared" si="13"/>
        <v>0</v>
      </c>
      <c r="AG31">
        <f t="shared" si="13"/>
        <v>0</v>
      </c>
      <c r="AH31">
        <f t="shared" si="13"/>
        <v>0</v>
      </c>
      <c r="AI31">
        <f t="shared" si="13"/>
        <v>1.486</v>
      </c>
      <c r="AJ31">
        <f t="shared" si="13"/>
        <v>0</v>
      </c>
      <c r="AK31">
        <v>10.35</v>
      </c>
      <c r="AL31">
        <v>0</v>
      </c>
      <c r="AM31">
        <v>10.35</v>
      </c>
      <c r="AN31">
        <v>0</v>
      </c>
      <c r="AO31">
        <v>0</v>
      </c>
      <c r="AP31">
        <v>0</v>
      </c>
      <c r="AQ31">
        <v>0</v>
      </c>
      <c r="AR31">
        <v>1.486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4.18</v>
      </c>
      <c r="BC31">
        <v>1</v>
      </c>
      <c r="BH31">
        <v>0</v>
      </c>
      <c r="BI31">
        <v>1</v>
      </c>
      <c r="BJ31" t="s">
        <v>52</v>
      </c>
      <c r="BM31">
        <v>1203</v>
      </c>
      <c r="BN31">
        <v>0</v>
      </c>
      <c r="BO31" t="s">
        <v>49</v>
      </c>
      <c r="BP31">
        <v>1</v>
      </c>
      <c r="BQ31">
        <v>10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CF31">
        <v>0</v>
      </c>
      <c r="CG31">
        <v>0</v>
      </c>
      <c r="CM31">
        <v>0</v>
      </c>
      <c r="CO31">
        <v>0</v>
      </c>
      <c r="CP31">
        <f t="shared" si="14"/>
        <v>19130.9</v>
      </c>
      <c r="CQ31">
        <f t="shared" si="15"/>
        <v>0</v>
      </c>
      <c r="CR31">
        <f t="shared" si="16"/>
        <v>43.263</v>
      </c>
      <c r="CS31">
        <f t="shared" si="17"/>
        <v>0</v>
      </c>
      <c r="CT31">
        <f t="shared" si="18"/>
        <v>0</v>
      </c>
      <c r="CU31">
        <f t="shared" si="19"/>
        <v>0</v>
      </c>
      <c r="CV31">
        <f t="shared" si="19"/>
        <v>0</v>
      </c>
      <c r="CW31">
        <f t="shared" si="19"/>
        <v>1.486</v>
      </c>
      <c r="CX31">
        <f t="shared" si="19"/>
        <v>0</v>
      </c>
      <c r="CY31">
        <f t="shared" si="20"/>
        <v>0</v>
      </c>
      <c r="CZ31">
        <f t="shared" si="21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51</v>
      </c>
      <c r="DW31" t="s">
        <v>51</v>
      </c>
      <c r="DX31">
        <v>1000</v>
      </c>
      <c r="EE31">
        <v>5677409</v>
      </c>
      <c r="EF31">
        <v>10</v>
      </c>
      <c r="EG31" t="s">
        <v>53</v>
      </c>
      <c r="EH31">
        <v>0</v>
      </c>
      <c r="EJ31">
        <v>1</v>
      </c>
      <c r="EK31">
        <v>1203</v>
      </c>
      <c r="EL31" t="s">
        <v>54</v>
      </c>
      <c r="EM31" t="s">
        <v>55</v>
      </c>
    </row>
    <row r="33" spans="1:39" ht="12.75">
      <c r="A33" s="2">
        <v>51</v>
      </c>
      <c r="B33" s="2">
        <f>B20</f>
        <v>1</v>
      </c>
      <c r="C33" s="2">
        <f>A20</f>
        <v>3</v>
      </c>
      <c r="D33" s="2">
        <f>ROW(A20)</f>
        <v>20</v>
      </c>
      <c r="E33" s="2"/>
      <c r="F33" s="2" t="str">
        <f>IF(F20&lt;&gt;"",F20,"")</f>
        <v>Новая локальная смета</v>
      </c>
      <c r="G33" s="2" t="str">
        <f>IF(G20&lt;&gt;"",G20,"")</f>
        <v>Новая локальная смета</v>
      </c>
      <c r="H33" s="2"/>
      <c r="I33" s="2"/>
      <c r="J33" s="2"/>
      <c r="K33" s="2"/>
      <c r="L33" s="2"/>
      <c r="M33" s="2"/>
      <c r="N33" s="2"/>
      <c r="O33" s="2">
        <f aca="true" t="shared" si="22" ref="O33:Y33">ROUND(AB33,2)</f>
        <v>451935.71</v>
      </c>
      <c r="P33" s="2">
        <f t="shared" si="22"/>
        <v>370179.8</v>
      </c>
      <c r="Q33" s="2">
        <f t="shared" si="22"/>
        <v>63259.28</v>
      </c>
      <c r="R33" s="2">
        <f t="shared" si="22"/>
        <v>9151.27</v>
      </c>
      <c r="S33" s="2">
        <f t="shared" si="22"/>
        <v>18496.63</v>
      </c>
      <c r="T33" s="2">
        <f t="shared" si="22"/>
        <v>0</v>
      </c>
      <c r="U33" s="2">
        <f t="shared" si="22"/>
        <v>253.74</v>
      </c>
      <c r="V33" s="2">
        <f t="shared" si="22"/>
        <v>745.7</v>
      </c>
      <c r="W33" s="2">
        <f t="shared" si="22"/>
        <v>0</v>
      </c>
      <c r="X33" s="2">
        <f t="shared" si="22"/>
        <v>36871.08</v>
      </c>
      <c r="Y33" s="2">
        <f t="shared" si="22"/>
        <v>26231.56</v>
      </c>
      <c r="Z33" s="2"/>
      <c r="AA33" s="2"/>
      <c r="AB33" s="2">
        <f>ROUND(SUMIF(AA24:AA31,"=0",O24:O31),2)</f>
        <v>451935.71</v>
      </c>
      <c r="AC33" s="2">
        <f>ROUND(SUMIF(AA24:AA31,"=0",P24:P31),2)</f>
        <v>370179.8</v>
      </c>
      <c r="AD33" s="2">
        <f>ROUND(SUMIF(AA24:AA31,"=0",Q24:Q31),2)</f>
        <v>63259.28</v>
      </c>
      <c r="AE33" s="2">
        <f>ROUND(SUMIF(AA24:AA31,"=0",R24:R31),2)</f>
        <v>9151.27</v>
      </c>
      <c r="AF33" s="2">
        <f>ROUND(SUMIF(AA24:AA31,"=0",S24:S31),2)</f>
        <v>18496.63</v>
      </c>
      <c r="AG33" s="2">
        <f>ROUND(SUMIF(AA24:AA31,"=0",T24:T31),2)</f>
        <v>0</v>
      </c>
      <c r="AH33" s="2">
        <f>ROUND(SUMIF(AA24:AA31,"=0",U24:U31),2)</f>
        <v>253.74</v>
      </c>
      <c r="AI33" s="2">
        <f>ROUND(SUMIF(AA24:AA31,"=0",V24:V31),2)</f>
        <v>745.7</v>
      </c>
      <c r="AJ33" s="2">
        <f>ROUND(SUMIF(AA24:AA31,"=0",W24:W31),2)</f>
        <v>0</v>
      </c>
      <c r="AK33" s="2">
        <f>ROUND(SUMIF(AA24:AA31,"=0",X24:X31),2)</f>
        <v>36871.08</v>
      </c>
      <c r="AL33" s="2">
        <f>ROUND(SUMIF(AA24:AA31,"=0",Y24:Y31),2)</f>
        <v>26231.56</v>
      </c>
      <c r="AM33" s="2">
        <v>0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0</v>
      </c>
      <c r="F35" s="3">
        <f>Source!O33</f>
        <v>451935.71</v>
      </c>
      <c r="G35" s="3" t="s">
        <v>56</v>
      </c>
      <c r="H35" s="3" t="s">
        <v>57</v>
      </c>
      <c r="I35" s="3"/>
      <c r="J35" s="3"/>
      <c r="K35" s="3">
        <v>201</v>
      </c>
      <c r="L35" s="3">
        <v>1</v>
      </c>
      <c r="M35" s="3">
        <v>3</v>
      </c>
      <c r="N35" s="3" t="s">
        <v>3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202</v>
      </c>
      <c r="F36" s="3">
        <f>Source!P33</f>
        <v>370179.8</v>
      </c>
      <c r="G36" s="3" t="s">
        <v>58</v>
      </c>
      <c r="H36" s="3" t="s">
        <v>59</v>
      </c>
      <c r="I36" s="3"/>
      <c r="J36" s="3"/>
      <c r="K36" s="3">
        <v>202</v>
      </c>
      <c r="L36" s="3">
        <v>2</v>
      </c>
      <c r="M36" s="3">
        <v>3</v>
      </c>
      <c r="N36" s="3" t="s">
        <v>3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203</v>
      </c>
      <c r="F37" s="3">
        <f>Source!Q33</f>
        <v>63259.28</v>
      </c>
      <c r="G37" s="3" t="s">
        <v>60</v>
      </c>
      <c r="H37" s="3" t="s">
        <v>61</v>
      </c>
      <c r="I37" s="3"/>
      <c r="J37" s="3"/>
      <c r="K37" s="3">
        <v>203</v>
      </c>
      <c r="L37" s="3">
        <v>3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204</v>
      </c>
      <c r="F38" s="3">
        <f>Source!R33</f>
        <v>9151.27</v>
      </c>
      <c r="G38" s="3" t="s">
        <v>62</v>
      </c>
      <c r="H38" s="3" t="s">
        <v>63</v>
      </c>
      <c r="I38" s="3"/>
      <c r="J38" s="3"/>
      <c r="K38" s="3">
        <v>204</v>
      </c>
      <c r="L38" s="3">
        <v>4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0</v>
      </c>
      <c r="F39" s="3">
        <f>Source!S33</f>
        <v>18496.63</v>
      </c>
      <c r="G39" s="3" t="s">
        <v>64</v>
      </c>
      <c r="H39" s="3" t="s">
        <v>65</v>
      </c>
      <c r="I39" s="3"/>
      <c r="J39" s="3"/>
      <c r="K39" s="3">
        <v>205</v>
      </c>
      <c r="L39" s="3">
        <v>5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206</v>
      </c>
      <c r="F40" s="3">
        <f>Source!T33</f>
        <v>0</v>
      </c>
      <c r="G40" s="3" t="s">
        <v>66</v>
      </c>
      <c r="H40" s="3" t="s">
        <v>67</v>
      </c>
      <c r="I40" s="3"/>
      <c r="J40" s="3"/>
      <c r="K40" s="3">
        <v>206</v>
      </c>
      <c r="L40" s="3">
        <v>6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207</v>
      </c>
      <c r="F41" s="3">
        <f>Source!U33</f>
        <v>253.74</v>
      </c>
      <c r="G41" s="3" t="s">
        <v>68</v>
      </c>
      <c r="H41" s="3" t="s">
        <v>69</v>
      </c>
      <c r="I41" s="3"/>
      <c r="J41" s="3"/>
      <c r="K41" s="3">
        <v>207</v>
      </c>
      <c r="L41" s="3">
        <v>7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208</v>
      </c>
      <c r="F42" s="3">
        <f>Source!V33</f>
        <v>745.7</v>
      </c>
      <c r="G42" s="3" t="s">
        <v>70</v>
      </c>
      <c r="H42" s="3" t="s">
        <v>71</v>
      </c>
      <c r="I42" s="3"/>
      <c r="J42" s="3"/>
      <c r="K42" s="3">
        <v>208</v>
      </c>
      <c r="L42" s="3">
        <v>8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209</v>
      </c>
      <c r="F43" s="3">
        <f>Source!W33</f>
        <v>0</v>
      </c>
      <c r="G43" s="3" t="s">
        <v>72</v>
      </c>
      <c r="H43" s="3" t="s">
        <v>73</v>
      </c>
      <c r="I43" s="3"/>
      <c r="J43" s="3"/>
      <c r="K43" s="3">
        <v>209</v>
      </c>
      <c r="L43" s="3">
        <v>9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Source!X33</f>
        <v>36871.08</v>
      </c>
      <c r="G44" s="3" t="s">
        <v>74</v>
      </c>
      <c r="H44" s="3" t="s">
        <v>75</v>
      </c>
      <c r="I44" s="3"/>
      <c r="J44" s="3"/>
      <c r="K44" s="3">
        <v>210</v>
      </c>
      <c r="L44" s="3">
        <v>10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0</v>
      </c>
      <c r="F45" s="3">
        <f>Source!Y33</f>
        <v>26231.56</v>
      </c>
      <c r="G45" s="3" t="s">
        <v>76</v>
      </c>
      <c r="H45" s="3" t="s">
        <v>77</v>
      </c>
      <c r="I45" s="3"/>
      <c r="J45" s="3"/>
      <c r="K45" s="3">
        <v>211</v>
      </c>
      <c r="L45" s="3">
        <v>11</v>
      </c>
      <c r="M45" s="3">
        <v>3</v>
      </c>
      <c r="N45" s="3" t="s">
        <v>3</v>
      </c>
    </row>
    <row r="46" spans="1:14" ht="12.75">
      <c r="A46" s="3">
        <v>50</v>
      </c>
      <c r="B46" s="3">
        <v>1</v>
      </c>
      <c r="C46" s="3">
        <v>0</v>
      </c>
      <c r="D46" s="3">
        <v>2</v>
      </c>
      <c r="E46" s="3">
        <v>201</v>
      </c>
      <c r="F46" s="3">
        <f>ROUND(Source!F35,2)</f>
        <v>451935.71</v>
      </c>
      <c r="G46" s="3" t="s">
        <v>78</v>
      </c>
      <c r="H46" s="3" t="s">
        <v>79</v>
      </c>
      <c r="I46" s="3"/>
      <c r="J46" s="3"/>
      <c r="K46" s="3">
        <v>212</v>
      </c>
      <c r="L46" s="3">
        <v>12</v>
      </c>
      <c r="M46" s="3">
        <v>0</v>
      </c>
      <c r="N46" s="3" t="s">
        <v>3</v>
      </c>
    </row>
    <row r="47" spans="1:14" ht="12.75">
      <c r="A47" s="3">
        <v>50</v>
      </c>
      <c r="B47" s="3">
        <v>1</v>
      </c>
      <c r="C47" s="3">
        <v>0</v>
      </c>
      <c r="D47" s="3">
        <v>2</v>
      </c>
      <c r="E47" s="3">
        <v>210</v>
      </c>
      <c r="F47" s="3">
        <f>ROUND(Source!F44,2)</f>
        <v>36871.08</v>
      </c>
      <c r="G47" s="3" t="s">
        <v>80</v>
      </c>
      <c r="H47" s="3" t="s">
        <v>81</v>
      </c>
      <c r="I47" s="3"/>
      <c r="J47" s="3"/>
      <c r="K47" s="3">
        <v>212</v>
      </c>
      <c r="L47" s="3">
        <v>13</v>
      </c>
      <c r="M47" s="3">
        <v>0</v>
      </c>
      <c r="N47" s="3" t="s">
        <v>3</v>
      </c>
    </row>
    <row r="48" spans="1:14" ht="12.75">
      <c r="A48" s="3">
        <v>50</v>
      </c>
      <c r="B48" s="3">
        <v>1</v>
      </c>
      <c r="C48" s="3">
        <v>0</v>
      </c>
      <c r="D48" s="3">
        <v>2</v>
      </c>
      <c r="E48" s="3">
        <v>211</v>
      </c>
      <c r="F48" s="3">
        <f>ROUND(Source!F45,2)</f>
        <v>26231.56</v>
      </c>
      <c r="G48" s="3" t="s">
        <v>82</v>
      </c>
      <c r="H48" s="3" t="s">
        <v>83</v>
      </c>
      <c r="I48" s="3"/>
      <c r="J48" s="3"/>
      <c r="K48" s="3">
        <v>212</v>
      </c>
      <c r="L48" s="3">
        <v>14</v>
      </c>
      <c r="M48" s="3">
        <v>0</v>
      </c>
      <c r="N48" s="3" t="s">
        <v>3</v>
      </c>
    </row>
    <row r="49" spans="1:14" ht="12.75">
      <c r="A49" s="3">
        <v>50</v>
      </c>
      <c r="B49" s="3">
        <v>1</v>
      </c>
      <c r="C49" s="3">
        <v>0</v>
      </c>
      <c r="D49" s="3">
        <v>2</v>
      </c>
      <c r="E49" s="3">
        <v>0</v>
      </c>
      <c r="F49" s="3">
        <f>ROUND(Source!F46+Source!F47+Source!F48,2)</f>
        <v>515038.35</v>
      </c>
      <c r="G49" s="3" t="s">
        <v>84</v>
      </c>
      <c r="H49" s="3" t="s">
        <v>85</v>
      </c>
      <c r="I49" s="3"/>
      <c r="J49" s="3"/>
      <c r="K49" s="3">
        <v>212</v>
      </c>
      <c r="L49" s="3">
        <v>15</v>
      </c>
      <c r="M49" s="3">
        <v>0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2</v>
      </c>
      <c r="E50" s="3">
        <v>0</v>
      </c>
      <c r="F50" s="3">
        <f>ROUND(Source!F41+Source!F42,2)</f>
        <v>999.44</v>
      </c>
      <c r="G50" s="3" t="s">
        <v>86</v>
      </c>
      <c r="H50" s="3" t="s">
        <v>87</v>
      </c>
      <c r="I50" s="3"/>
      <c r="J50" s="3"/>
      <c r="K50" s="3">
        <v>212</v>
      </c>
      <c r="L50" s="3">
        <v>16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2</v>
      </c>
      <c r="E51" s="3">
        <v>205</v>
      </c>
      <c r="F51" s="3">
        <f>ROUND(Source!F39+Source!F38,2)</f>
        <v>27647.9</v>
      </c>
      <c r="G51" s="3" t="s">
        <v>88</v>
      </c>
      <c r="H51" s="3" t="s">
        <v>89</v>
      </c>
      <c r="I51" s="3"/>
      <c r="J51" s="3"/>
      <c r="K51" s="3">
        <v>212</v>
      </c>
      <c r="L51" s="3">
        <v>17</v>
      </c>
      <c r="M51" s="3">
        <v>3</v>
      </c>
      <c r="N51" s="3" t="s">
        <v>3</v>
      </c>
    </row>
    <row r="52" spans="1:14" ht="12.75">
      <c r="A52" s="3">
        <v>50</v>
      </c>
      <c r="B52" s="3">
        <f>IF(Source!F52&lt;&gt;0,1,0)</f>
        <v>1</v>
      </c>
      <c r="C52" s="3">
        <v>0</v>
      </c>
      <c r="D52" s="3">
        <v>2</v>
      </c>
      <c r="E52" s="3">
        <v>0</v>
      </c>
      <c r="F52" s="3">
        <f>ROUND(1.2,2)</f>
        <v>1.2</v>
      </c>
      <c r="G52" s="3" t="s">
        <v>90</v>
      </c>
      <c r="H52" s="3" t="s">
        <v>91</v>
      </c>
      <c r="I52" s="3"/>
      <c r="J52" s="3"/>
      <c r="K52" s="3">
        <v>212</v>
      </c>
      <c r="L52" s="3">
        <v>18</v>
      </c>
      <c r="M52" s="3">
        <v>1</v>
      </c>
      <c r="N52" s="3" t="s">
        <v>92</v>
      </c>
    </row>
    <row r="53" spans="1:14" ht="12.75">
      <c r="A53" s="3">
        <v>50</v>
      </c>
      <c r="B53" s="3">
        <f>IF(Source!F53&lt;&gt;0,1,0)</f>
        <v>1</v>
      </c>
      <c r="C53" s="3">
        <v>0</v>
      </c>
      <c r="D53" s="3">
        <v>2</v>
      </c>
      <c r="E53" s="3">
        <v>0</v>
      </c>
      <c r="F53" s="3">
        <f>ROUND(IF(Source!F52&gt;0,Source!F49*(Source!F52/100+1),0),2)</f>
        <v>521218.81</v>
      </c>
      <c r="G53" s="3" t="s">
        <v>93</v>
      </c>
      <c r="H53" s="3" t="s">
        <v>94</v>
      </c>
      <c r="I53" s="3"/>
      <c r="J53" s="3"/>
      <c r="K53" s="3">
        <v>212</v>
      </c>
      <c r="L53" s="3">
        <v>19</v>
      </c>
      <c r="M53" s="3">
        <v>1</v>
      </c>
      <c r="N53" s="3" t="s">
        <v>3</v>
      </c>
    </row>
    <row r="54" spans="1:14" ht="12.75">
      <c r="A54" s="3">
        <v>50</v>
      </c>
      <c r="B54" s="3">
        <f>IF(Source!F54&lt;&gt;0,1,0)</f>
        <v>0</v>
      </c>
      <c r="C54" s="3">
        <v>0</v>
      </c>
      <c r="D54" s="3">
        <v>2</v>
      </c>
      <c r="E54" s="3">
        <v>0</v>
      </c>
      <c r="F54" s="3">
        <v>0</v>
      </c>
      <c r="G54" s="3" t="s">
        <v>95</v>
      </c>
      <c r="H54" s="3" t="s">
        <v>96</v>
      </c>
      <c r="I54" s="3"/>
      <c r="J54" s="3"/>
      <c r="K54" s="3">
        <v>212</v>
      </c>
      <c r="L54" s="3">
        <v>20</v>
      </c>
      <c r="M54" s="3">
        <v>1</v>
      </c>
      <c r="N54" s="3" t="s">
        <v>97</v>
      </c>
    </row>
    <row r="55" spans="1:14" ht="12.75">
      <c r="A55" s="3">
        <v>50</v>
      </c>
      <c r="B55" s="3">
        <f>IF(Source!F55&lt;&gt;0,1,0)</f>
        <v>0</v>
      </c>
      <c r="C55" s="3">
        <v>0</v>
      </c>
      <c r="D55" s="3">
        <v>2</v>
      </c>
      <c r="E55" s="3">
        <v>0</v>
      </c>
      <c r="F55" s="3">
        <f>ROUND(IF(Source!F54&gt;0,IF(Source!F52&gt;0,Source!F53*(Source!F54/100+1),Source!F49*(Source!F54/100+1)),0),2)</f>
        <v>0</v>
      </c>
      <c r="G55" s="3" t="s">
        <v>98</v>
      </c>
      <c r="H55" s="3" t="s">
        <v>99</v>
      </c>
      <c r="I55" s="3"/>
      <c r="J55" s="3"/>
      <c r="K55" s="3">
        <v>212</v>
      </c>
      <c r="L55" s="3">
        <v>21</v>
      </c>
      <c r="M55" s="3">
        <v>1</v>
      </c>
      <c r="N55" s="3" t="s">
        <v>3</v>
      </c>
    </row>
    <row r="56" spans="1:14" ht="12.75">
      <c r="A56" s="3">
        <v>50</v>
      </c>
      <c r="B56" s="3">
        <v>1</v>
      </c>
      <c r="C56" s="3">
        <v>0</v>
      </c>
      <c r="D56" s="3">
        <v>2</v>
      </c>
      <c r="E56" s="3">
        <v>0</v>
      </c>
      <c r="F56" s="3">
        <f>ROUND(IF(Source!F55&gt;0,Source!F55*0.18,IF(Source!F52&gt;0,Source!F53*0.18,Source!F49*0.18)),2)</f>
        <v>93819.39</v>
      </c>
      <c r="G56" s="3" t="s">
        <v>100</v>
      </c>
      <c r="H56" s="3" t="s">
        <v>101</v>
      </c>
      <c r="I56" s="3"/>
      <c r="J56" s="3"/>
      <c r="K56" s="3">
        <v>212</v>
      </c>
      <c r="L56" s="3">
        <v>22</v>
      </c>
      <c r="M56" s="3">
        <v>0</v>
      </c>
      <c r="N56" s="3" t="s">
        <v>3</v>
      </c>
    </row>
    <row r="57" spans="1:14" ht="12.75">
      <c r="A57" s="3">
        <v>50</v>
      </c>
      <c r="B57" s="3">
        <v>1</v>
      </c>
      <c r="C57" s="3">
        <v>0</v>
      </c>
      <c r="D57" s="3">
        <v>2</v>
      </c>
      <c r="E57" s="3">
        <v>213</v>
      </c>
      <c r="F57" s="3">
        <f>ROUND(Source!F56/18*100+Source!F56,2)</f>
        <v>615038.22</v>
      </c>
      <c r="G57" s="3" t="s">
        <v>102</v>
      </c>
      <c r="H57" s="3" t="s">
        <v>102</v>
      </c>
      <c r="I57" s="3"/>
      <c r="J57" s="3"/>
      <c r="K57" s="3">
        <v>212</v>
      </c>
      <c r="L57" s="3">
        <v>23</v>
      </c>
      <c r="M57" s="3">
        <v>0</v>
      </c>
      <c r="N57" s="3" t="s">
        <v>3</v>
      </c>
    </row>
    <row r="59" spans="1:39" ht="12.75">
      <c r="A59" s="2">
        <v>51</v>
      </c>
      <c r="B59" s="2">
        <f>B12</f>
        <v>1</v>
      </c>
      <c r="C59" s="2">
        <f>A12</f>
        <v>1</v>
      </c>
      <c r="D59" s="2">
        <f>ROW(A12)</f>
        <v>12</v>
      </c>
      <c r="E59" s="2"/>
      <c r="F59" s="2" t="str">
        <f>IF(F12&lt;&gt;"",F12,"")</f>
        <v>Новый объект</v>
      </c>
      <c r="G59" s="2" t="str">
        <f>IF(G12&lt;&gt;"",G12,"")</f>
        <v>Устройство временной дороги</v>
      </c>
      <c r="H59" s="2"/>
      <c r="I59" s="2"/>
      <c r="J59" s="2"/>
      <c r="K59" s="2"/>
      <c r="L59" s="2"/>
      <c r="M59" s="2"/>
      <c r="N59" s="2"/>
      <c r="O59" s="2">
        <f aca="true" t="shared" si="23" ref="O59:Y59">ROUND(O33,2)</f>
        <v>451935.71</v>
      </c>
      <c r="P59" s="2">
        <f t="shared" si="23"/>
        <v>370179.8</v>
      </c>
      <c r="Q59" s="2">
        <f t="shared" si="23"/>
        <v>63259.28</v>
      </c>
      <c r="R59" s="2">
        <f t="shared" si="23"/>
        <v>9151.27</v>
      </c>
      <c r="S59" s="2">
        <f t="shared" si="23"/>
        <v>18496.63</v>
      </c>
      <c r="T59" s="2">
        <f t="shared" si="23"/>
        <v>0</v>
      </c>
      <c r="U59" s="2">
        <f t="shared" si="23"/>
        <v>253.74</v>
      </c>
      <c r="V59" s="2">
        <f t="shared" si="23"/>
        <v>745.7</v>
      </c>
      <c r="W59" s="2">
        <f t="shared" si="23"/>
        <v>0</v>
      </c>
      <c r="X59" s="2">
        <f t="shared" si="23"/>
        <v>36871.08</v>
      </c>
      <c r="Y59" s="2">
        <f t="shared" si="23"/>
        <v>26231.56</v>
      </c>
      <c r="Z59" s="2"/>
      <c r="AA59" s="2"/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0</v>
      </c>
      <c r="F61" s="3">
        <f>Source!O59</f>
        <v>451935.71</v>
      </c>
      <c r="G61" s="3" t="s">
        <v>56</v>
      </c>
      <c r="H61" s="3" t="s">
        <v>57</v>
      </c>
      <c r="I61" s="3"/>
      <c r="J61" s="3"/>
      <c r="K61" s="3">
        <v>201</v>
      </c>
      <c r="L61" s="3">
        <v>1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202</v>
      </c>
      <c r="F62" s="3">
        <f>Source!P59</f>
        <v>370179.8</v>
      </c>
      <c r="G62" s="3" t="s">
        <v>58</v>
      </c>
      <c r="H62" s="3" t="s">
        <v>59</v>
      </c>
      <c r="I62" s="3"/>
      <c r="J62" s="3"/>
      <c r="K62" s="3">
        <v>202</v>
      </c>
      <c r="L62" s="3">
        <v>2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203</v>
      </c>
      <c r="F63" s="3">
        <f>Source!Q59</f>
        <v>63259.28</v>
      </c>
      <c r="G63" s="3" t="s">
        <v>60</v>
      </c>
      <c r="H63" s="3" t="s">
        <v>61</v>
      </c>
      <c r="I63" s="3"/>
      <c r="J63" s="3"/>
      <c r="K63" s="3">
        <v>203</v>
      </c>
      <c r="L63" s="3">
        <v>3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204</v>
      </c>
      <c r="F64" s="3">
        <f>Source!R59</f>
        <v>9151.27</v>
      </c>
      <c r="G64" s="3" t="s">
        <v>62</v>
      </c>
      <c r="H64" s="3" t="s">
        <v>63</v>
      </c>
      <c r="I64" s="3"/>
      <c r="J64" s="3"/>
      <c r="K64" s="3">
        <v>204</v>
      </c>
      <c r="L64" s="3">
        <v>4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0</v>
      </c>
      <c r="F65" s="3">
        <f>Source!S59</f>
        <v>18496.63</v>
      </c>
      <c r="G65" s="3" t="s">
        <v>64</v>
      </c>
      <c r="H65" s="3" t="s">
        <v>65</v>
      </c>
      <c r="I65" s="3"/>
      <c r="J65" s="3"/>
      <c r="K65" s="3">
        <v>205</v>
      </c>
      <c r="L65" s="3">
        <v>5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206</v>
      </c>
      <c r="F66" s="3">
        <f>Source!T59</f>
        <v>0</v>
      </c>
      <c r="G66" s="3" t="s">
        <v>66</v>
      </c>
      <c r="H66" s="3" t="s">
        <v>67</v>
      </c>
      <c r="I66" s="3"/>
      <c r="J66" s="3"/>
      <c r="K66" s="3">
        <v>206</v>
      </c>
      <c r="L66" s="3">
        <v>6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207</v>
      </c>
      <c r="F67" s="3">
        <f>Source!U59</f>
        <v>253.74</v>
      </c>
      <c r="G67" s="3" t="s">
        <v>68</v>
      </c>
      <c r="H67" s="3" t="s">
        <v>69</v>
      </c>
      <c r="I67" s="3"/>
      <c r="J67" s="3"/>
      <c r="K67" s="3">
        <v>207</v>
      </c>
      <c r="L67" s="3">
        <v>7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208</v>
      </c>
      <c r="F68" s="3">
        <f>Source!V59</f>
        <v>745.7</v>
      </c>
      <c r="G68" s="3" t="s">
        <v>70</v>
      </c>
      <c r="H68" s="3" t="s">
        <v>71</v>
      </c>
      <c r="I68" s="3"/>
      <c r="J68" s="3"/>
      <c r="K68" s="3">
        <v>208</v>
      </c>
      <c r="L68" s="3">
        <v>8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209</v>
      </c>
      <c r="F69" s="3">
        <f>Source!W59</f>
        <v>0</v>
      </c>
      <c r="G69" s="3" t="s">
        <v>72</v>
      </c>
      <c r="H69" s="3" t="s">
        <v>73</v>
      </c>
      <c r="I69" s="3"/>
      <c r="J69" s="3"/>
      <c r="K69" s="3">
        <v>209</v>
      </c>
      <c r="L69" s="3">
        <v>9</v>
      </c>
      <c r="M69" s="3">
        <v>3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0</v>
      </c>
      <c r="F70" s="3">
        <f>Source!X59</f>
        <v>36871.08</v>
      </c>
      <c r="G70" s="3" t="s">
        <v>74</v>
      </c>
      <c r="H70" s="3" t="s">
        <v>75</v>
      </c>
      <c r="I70" s="3"/>
      <c r="J70" s="3"/>
      <c r="K70" s="3">
        <v>210</v>
      </c>
      <c r="L70" s="3">
        <v>10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0</v>
      </c>
      <c r="F71" s="3">
        <f>Source!Y59</f>
        <v>26231.56</v>
      </c>
      <c r="G71" s="3" t="s">
        <v>76</v>
      </c>
      <c r="H71" s="3" t="s">
        <v>77</v>
      </c>
      <c r="I71" s="3"/>
      <c r="J71" s="3"/>
      <c r="K71" s="3">
        <v>211</v>
      </c>
      <c r="L71" s="3">
        <v>11</v>
      </c>
      <c r="M71" s="3">
        <v>3</v>
      </c>
      <c r="N71" s="3" t="s">
        <v>3</v>
      </c>
    </row>
    <row r="72" spans="1:14" ht="12.75">
      <c r="A72" s="3">
        <v>50</v>
      </c>
      <c r="B72" s="3">
        <v>1</v>
      </c>
      <c r="C72" s="3">
        <v>0</v>
      </c>
      <c r="D72" s="3">
        <v>2</v>
      </c>
      <c r="E72" s="3">
        <v>201</v>
      </c>
      <c r="F72" s="3">
        <f>ROUND(Source!F61,2)</f>
        <v>451935.71</v>
      </c>
      <c r="G72" s="3" t="s">
        <v>78</v>
      </c>
      <c r="H72" s="3" t="s">
        <v>79</v>
      </c>
      <c r="I72" s="3"/>
      <c r="J72" s="3"/>
      <c r="K72" s="3">
        <v>212</v>
      </c>
      <c r="L72" s="3">
        <v>12</v>
      </c>
      <c r="M72" s="3">
        <v>0</v>
      </c>
      <c r="N72" s="3" t="s">
        <v>3</v>
      </c>
    </row>
    <row r="73" spans="1:14" ht="12.75">
      <c r="A73" s="3">
        <v>50</v>
      </c>
      <c r="B73" s="3">
        <v>1</v>
      </c>
      <c r="C73" s="3">
        <v>0</v>
      </c>
      <c r="D73" s="3">
        <v>2</v>
      </c>
      <c r="E73" s="3">
        <v>210</v>
      </c>
      <c r="F73" s="3">
        <f>ROUND(Source!F70,2)</f>
        <v>36871.08</v>
      </c>
      <c r="G73" s="3" t="s">
        <v>80</v>
      </c>
      <c r="H73" s="3" t="s">
        <v>81</v>
      </c>
      <c r="I73" s="3"/>
      <c r="J73" s="3"/>
      <c r="K73" s="3">
        <v>212</v>
      </c>
      <c r="L73" s="3">
        <v>13</v>
      </c>
      <c r="M73" s="3">
        <v>0</v>
      </c>
      <c r="N73" s="3" t="s">
        <v>3</v>
      </c>
    </row>
    <row r="74" spans="1:14" ht="12.75">
      <c r="A74" s="3">
        <v>50</v>
      </c>
      <c r="B74" s="3">
        <v>1</v>
      </c>
      <c r="C74" s="3">
        <v>0</v>
      </c>
      <c r="D74" s="3">
        <v>2</v>
      </c>
      <c r="E74" s="3">
        <v>211</v>
      </c>
      <c r="F74" s="3">
        <f>ROUND(Source!F71,2)</f>
        <v>26231.56</v>
      </c>
      <c r="G74" s="3" t="s">
        <v>82</v>
      </c>
      <c r="H74" s="3" t="s">
        <v>83</v>
      </c>
      <c r="I74" s="3"/>
      <c r="J74" s="3"/>
      <c r="K74" s="3">
        <v>212</v>
      </c>
      <c r="L74" s="3">
        <v>14</v>
      </c>
      <c r="M74" s="3">
        <v>0</v>
      </c>
      <c r="N74" s="3" t="s">
        <v>3</v>
      </c>
    </row>
    <row r="75" spans="1:14" ht="12.75">
      <c r="A75" s="3">
        <v>50</v>
      </c>
      <c r="B75" s="3">
        <v>1</v>
      </c>
      <c r="C75" s="3">
        <v>0</v>
      </c>
      <c r="D75" s="3">
        <v>2</v>
      </c>
      <c r="E75" s="3">
        <v>0</v>
      </c>
      <c r="F75" s="3">
        <f>ROUND(Source!F72+Source!F73+Source!F74,2)</f>
        <v>515038.35</v>
      </c>
      <c r="G75" s="3" t="s">
        <v>84</v>
      </c>
      <c r="H75" s="3" t="s">
        <v>85</v>
      </c>
      <c r="I75" s="3"/>
      <c r="J75" s="3"/>
      <c r="K75" s="3">
        <v>212</v>
      </c>
      <c r="L75" s="3">
        <v>15</v>
      </c>
      <c r="M75" s="3">
        <v>0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2</v>
      </c>
      <c r="E76" s="3">
        <v>0</v>
      </c>
      <c r="F76" s="3">
        <f>ROUND(Source!F67+Source!F68,2)</f>
        <v>999.44</v>
      </c>
      <c r="G76" s="3" t="s">
        <v>86</v>
      </c>
      <c r="H76" s="3" t="s">
        <v>87</v>
      </c>
      <c r="I76" s="3"/>
      <c r="J76" s="3"/>
      <c r="K76" s="3">
        <v>212</v>
      </c>
      <c r="L76" s="3">
        <v>16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2</v>
      </c>
      <c r="E77" s="3">
        <v>205</v>
      </c>
      <c r="F77" s="3">
        <f>ROUND(Source!F65+Source!F64,2)</f>
        <v>27647.9</v>
      </c>
      <c r="G77" s="3" t="s">
        <v>88</v>
      </c>
      <c r="H77" s="3" t="s">
        <v>89</v>
      </c>
      <c r="I77" s="3"/>
      <c r="J77" s="3"/>
      <c r="K77" s="3">
        <v>212</v>
      </c>
      <c r="L77" s="3">
        <v>17</v>
      </c>
      <c r="M77" s="3">
        <v>3</v>
      </c>
      <c r="N77" s="3" t="s">
        <v>3</v>
      </c>
    </row>
    <row r="78" spans="1:14" ht="12.75">
      <c r="A78" s="3">
        <v>50</v>
      </c>
      <c r="B78" s="3">
        <f>IF(Source!F78&lt;&gt;0,1,0)</f>
        <v>1</v>
      </c>
      <c r="C78" s="3">
        <v>0</v>
      </c>
      <c r="D78" s="3">
        <v>2</v>
      </c>
      <c r="E78" s="3">
        <v>0</v>
      </c>
      <c r="F78" s="3">
        <f>ROUND(1.2,2)</f>
        <v>1.2</v>
      </c>
      <c r="G78" s="3" t="s">
        <v>90</v>
      </c>
      <c r="H78" s="3" t="s">
        <v>91</v>
      </c>
      <c r="I78" s="3"/>
      <c r="J78" s="3"/>
      <c r="K78" s="3">
        <v>212</v>
      </c>
      <c r="L78" s="3">
        <v>18</v>
      </c>
      <c r="M78" s="3">
        <v>1</v>
      </c>
      <c r="N78" s="3" t="s">
        <v>92</v>
      </c>
    </row>
    <row r="79" spans="1:14" ht="12.75">
      <c r="A79" s="3">
        <v>50</v>
      </c>
      <c r="B79" s="3">
        <f>IF(Source!F79&lt;&gt;0,1,0)</f>
        <v>1</v>
      </c>
      <c r="C79" s="3">
        <v>0</v>
      </c>
      <c r="D79" s="3">
        <v>2</v>
      </c>
      <c r="E79" s="3">
        <v>0</v>
      </c>
      <c r="F79" s="3">
        <f>ROUND(IF(Source!F78&gt;0,Source!F75*(Source!F78/100+1),0),2)</f>
        <v>521218.81</v>
      </c>
      <c r="G79" s="3" t="s">
        <v>93</v>
      </c>
      <c r="H79" s="3" t="s">
        <v>94</v>
      </c>
      <c r="I79" s="3"/>
      <c r="J79" s="3"/>
      <c r="K79" s="3">
        <v>212</v>
      </c>
      <c r="L79" s="3">
        <v>19</v>
      </c>
      <c r="M79" s="3">
        <v>1</v>
      </c>
      <c r="N79" s="3" t="s">
        <v>3</v>
      </c>
    </row>
    <row r="80" spans="1:14" ht="12.75">
      <c r="A80" s="3">
        <v>50</v>
      </c>
      <c r="B80" s="3">
        <f>IF(Source!F80&lt;&gt;0,1,0)</f>
        <v>0</v>
      </c>
      <c r="C80" s="3">
        <v>0</v>
      </c>
      <c r="D80" s="3">
        <v>2</v>
      </c>
      <c r="E80" s="3">
        <v>0</v>
      </c>
      <c r="F80" s="3">
        <v>0</v>
      </c>
      <c r="G80" s="3" t="s">
        <v>95</v>
      </c>
      <c r="H80" s="3" t="s">
        <v>96</v>
      </c>
      <c r="I80" s="3"/>
      <c r="J80" s="3"/>
      <c r="K80" s="3">
        <v>212</v>
      </c>
      <c r="L80" s="3">
        <v>20</v>
      </c>
      <c r="M80" s="3">
        <v>1</v>
      </c>
      <c r="N80" s="3" t="s">
        <v>97</v>
      </c>
    </row>
    <row r="81" spans="1:14" ht="12.75">
      <c r="A81" s="3">
        <v>50</v>
      </c>
      <c r="B81" s="3">
        <f>IF(Source!F81&lt;&gt;0,1,0)</f>
        <v>0</v>
      </c>
      <c r="C81" s="3">
        <v>0</v>
      </c>
      <c r="D81" s="3">
        <v>2</v>
      </c>
      <c r="E81" s="3">
        <v>0</v>
      </c>
      <c r="F81" s="3">
        <f>ROUND(IF(Source!F80&gt;0,IF(Source!F78&gt;0,Source!F79*(Source!F80/100+1),Source!F75*(Source!F80/100+1)),0),2)</f>
        <v>0</v>
      </c>
      <c r="G81" s="3" t="s">
        <v>98</v>
      </c>
      <c r="H81" s="3" t="s">
        <v>99</v>
      </c>
      <c r="I81" s="3"/>
      <c r="J81" s="3"/>
      <c r="K81" s="3">
        <v>212</v>
      </c>
      <c r="L81" s="3">
        <v>21</v>
      </c>
      <c r="M81" s="3">
        <v>1</v>
      </c>
      <c r="N81" s="3" t="s">
        <v>3</v>
      </c>
    </row>
    <row r="82" spans="1:14" ht="12.75">
      <c r="A82" s="3">
        <v>50</v>
      </c>
      <c r="B82" s="3">
        <v>1</v>
      </c>
      <c r="C82" s="3">
        <v>0</v>
      </c>
      <c r="D82" s="3">
        <v>2</v>
      </c>
      <c r="E82" s="3">
        <v>0</v>
      </c>
      <c r="F82" s="3">
        <f>ROUND(IF(Source!F81&gt;0,Source!F81*0.18,IF(Source!F78&gt;0,Source!F79*0.18,Source!F75*0.18)),2)</f>
        <v>93819.39</v>
      </c>
      <c r="G82" s="3" t="s">
        <v>100</v>
      </c>
      <c r="H82" s="3" t="s">
        <v>101</v>
      </c>
      <c r="I82" s="3"/>
      <c r="J82" s="3"/>
      <c r="K82" s="3">
        <v>212</v>
      </c>
      <c r="L82" s="3">
        <v>22</v>
      </c>
      <c r="M82" s="3">
        <v>0</v>
      </c>
      <c r="N82" s="3" t="s">
        <v>3</v>
      </c>
    </row>
    <row r="83" spans="1:14" ht="12.75">
      <c r="A83" s="3">
        <v>50</v>
      </c>
      <c r="B83" s="3">
        <v>1</v>
      </c>
      <c r="C83" s="3">
        <v>0</v>
      </c>
      <c r="D83" s="3">
        <v>2</v>
      </c>
      <c r="E83" s="3">
        <v>213</v>
      </c>
      <c r="F83" s="3">
        <f>ROUND(Source!F82/18*100+Source!F82,2)</f>
        <v>615038.22</v>
      </c>
      <c r="G83" s="3" t="s">
        <v>102</v>
      </c>
      <c r="H83" s="3" t="s">
        <v>102</v>
      </c>
      <c r="I83" s="3"/>
      <c r="J83" s="3"/>
      <c r="K83" s="3">
        <v>212</v>
      </c>
      <c r="L83" s="3">
        <v>23</v>
      </c>
      <c r="M83" s="3">
        <v>0</v>
      </c>
      <c r="N83" s="3" t="s">
        <v>3</v>
      </c>
    </row>
    <row r="86" spans="1:13" ht="12.75">
      <c r="A86">
        <v>70</v>
      </c>
      <c r="B86">
        <v>1</v>
      </c>
      <c r="D86">
        <v>0</v>
      </c>
      <c r="E86" t="s">
        <v>103</v>
      </c>
      <c r="F86" t="s">
        <v>104</v>
      </c>
      <c r="G86">
        <v>1</v>
      </c>
      <c r="H86">
        <v>0.85</v>
      </c>
      <c r="I86" t="s">
        <v>105</v>
      </c>
      <c r="J86">
        <v>0</v>
      </c>
      <c r="K86">
        <v>0</v>
      </c>
    </row>
    <row r="87" spans="1:13" ht="12.75">
      <c r="A87">
        <v>70</v>
      </c>
      <c r="B87">
        <v>1</v>
      </c>
      <c r="D87">
        <v>0</v>
      </c>
      <c r="E87" t="s">
        <v>106</v>
      </c>
      <c r="F87" t="s">
        <v>107</v>
      </c>
      <c r="G87">
        <v>0.94</v>
      </c>
      <c r="H87">
        <v>0.94</v>
      </c>
      <c r="I87" t="s">
        <v>108</v>
      </c>
      <c r="J87">
        <v>0</v>
      </c>
      <c r="K87">
        <v>0</v>
      </c>
    </row>
    <row r="88" spans="1:13" ht="12.75">
      <c r="A88">
        <v>70</v>
      </c>
      <c r="B88">
        <v>1</v>
      </c>
      <c r="D88">
        <v>1</v>
      </c>
      <c r="E88" t="s">
        <v>109</v>
      </c>
      <c r="F88" t="s">
        <v>110</v>
      </c>
      <c r="G88">
        <v>1</v>
      </c>
      <c r="H88">
        <v>1</v>
      </c>
      <c r="I88" t="s">
        <v>111</v>
      </c>
      <c r="J88">
        <v>0</v>
      </c>
      <c r="K88">
        <v>0</v>
      </c>
    </row>
    <row r="89" spans="1:13" ht="12.75">
      <c r="A89">
        <v>70</v>
      </c>
      <c r="B89">
        <v>1</v>
      </c>
      <c r="D89">
        <v>55</v>
      </c>
      <c r="E89" t="s">
        <v>112</v>
      </c>
      <c r="F89" t="s">
        <v>113</v>
      </c>
      <c r="G89">
        <v>1</v>
      </c>
      <c r="H89">
        <v>1</v>
      </c>
      <c r="I89" t="s">
        <v>114</v>
      </c>
      <c r="J89">
        <v>0</v>
      </c>
      <c r="K89">
        <v>0</v>
      </c>
    </row>
    <row r="90" spans="1:13" ht="12.75">
      <c r="A90">
        <v>70</v>
      </c>
      <c r="B90">
        <v>1</v>
      </c>
      <c r="D90">
        <v>0</v>
      </c>
      <c r="E90" t="s">
        <v>115</v>
      </c>
      <c r="F90" t="s">
        <v>116</v>
      </c>
      <c r="G90">
        <v>0</v>
      </c>
      <c r="H90">
        <v>0</v>
      </c>
      <c r="I90" t="s">
        <v>117</v>
      </c>
      <c r="J90">
        <v>0</v>
      </c>
      <c r="K90">
        <v>0</v>
      </c>
    </row>
    <row r="91" spans="1:13" ht="12.75">
      <c r="A91">
        <v>70</v>
      </c>
      <c r="B91">
        <v>1</v>
      </c>
      <c r="D91">
        <v>52</v>
      </c>
      <c r="E91" t="s">
        <v>118</v>
      </c>
      <c r="F91" t="s">
        <v>119</v>
      </c>
      <c r="G91">
        <v>1</v>
      </c>
      <c r="H91">
        <v>1</v>
      </c>
      <c r="I91" t="s">
        <v>120</v>
      </c>
      <c r="J91">
        <v>0</v>
      </c>
      <c r="K91">
        <v>0</v>
      </c>
    </row>
    <row r="92" spans="1:13" ht="12.75">
      <c r="A92">
        <v>70</v>
      </c>
      <c r="B92">
        <v>1</v>
      </c>
      <c r="D92">
        <v>56</v>
      </c>
      <c r="E92" t="s">
        <v>121</v>
      </c>
      <c r="F92" t="s">
        <v>122</v>
      </c>
      <c r="G92">
        <v>1</v>
      </c>
      <c r="H92">
        <v>1</v>
      </c>
      <c r="I92" t="s">
        <v>123</v>
      </c>
      <c r="J92">
        <v>0</v>
      </c>
      <c r="K92">
        <v>0</v>
      </c>
    </row>
    <row r="93" spans="1:13" ht="12.75">
      <c r="A93">
        <v>70</v>
      </c>
      <c r="B93">
        <v>1</v>
      </c>
      <c r="D93">
        <v>53</v>
      </c>
      <c r="E93" t="s">
        <v>124</v>
      </c>
      <c r="F93" t="s">
        <v>125</v>
      </c>
      <c r="G93">
        <v>0</v>
      </c>
      <c r="H93">
        <v>0</v>
      </c>
      <c r="I93" t="s">
        <v>126</v>
      </c>
      <c r="J93">
        <v>0</v>
      </c>
      <c r="K93">
        <v>0</v>
      </c>
    </row>
    <row r="94" spans="1:13" ht="12.75">
      <c r="A94">
        <v>70</v>
      </c>
      <c r="B94">
        <v>1</v>
      </c>
      <c r="D94">
        <v>24</v>
      </c>
      <c r="E94" t="s">
        <v>127</v>
      </c>
      <c r="F94" t="s">
        <v>128</v>
      </c>
      <c r="G94">
        <v>1</v>
      </c>
      <c r="H94">
        <v>1.68</v>
      </c>
      <c r="I94" t="s">
        <v>129</v>
      </c>
      <c r="J94">
        <v>0</v>
      </c>
      <c r="K94">
        <v>0</v>
      </c>
    </row>
    <row r="95" spans="1:13" ht="12.75">
      <c r="A95">
        <v>70</v>
      </c>
      <c r="B95">
        <v>1</v>
      </c>
      <c r="D95">
        <v>25</v>
      </c>
      <c r="E95" t="s">
        <v>130</v>
      </c>
      <c r="F95" t="s">
        <v>131</v>
      </c>
      <c r="G95">
        <v>1</v>
      </c>
      <c r="H95">
        <v>2.05</v>
      </c>
      <c r="I95" t="s">
        <v>132</v>
      </c>
      <c r="J95">
        <v>0</v>
      </c>
      <c r="K95">
        <v>0</v>
      </c>
    </row>
    <row r="96" spans="1:13" ht="12.75">
      <c r="A96">
        <v>70</v>
      </c>
      <c r="B96">
        <v>1</v>
      </c>
      <c r="D96">
        <v>26</v>
      </c>
      <c r="E96" t="s">
        <v>133</v>
      </c>
      <c r="F96" t="s">
        <v>134</v>
      </c>
      <c r="G96">
        <v>1</v>
      </c>
      <c r="H96">
        <v>2.4</v>
      </c>
      <c r="I96" t="s">
        <v>135</v>
      </c>
      <c r="J96">
        <v>0</v>
      </c>
      <c r="K96">
        <v>0</v>
      </c>
    </row>
    <row r="97" spans="1:13" ht="12.75">
      <c r="A97">
        <v>70</v>
      </c>
      <c r="B97">
        <v>1</v>
      </c>
      <c r="D97">
        <v>27</v>
      </c>
      <c r="E97" t="s">
        <v>136</v>
      </c>
      <c r="F97" t="s">
        <v>137</v>
      </c>
      <c r="G97">
        <v>1</v>
      </c>
      <c r="H97">
        <v>2.8</v>
      </c>
      <c r="I97" t="s">
        <v>138</v>
      </c>
      <c r="J97">
        <v>0</v>
      </c>
      <c r="K97">
        <v>0</v>
      </c>
    </row>
    <row r="98" spans="1:13" ht="12.75">
      <c r="A98">
        <v>70</v>
      </c>
      <c r="B98">
        <v>1</v>
      </c>
      <c r="D98">
        <v>54</v>
      </c>
      <c r="E98" t="s">
        <v>139</v>
      </c>
      <c r="F98" t="s">
        <v>140</v>
      </c>
      <c r="G98">
        <v>0</v>
      </c>
      <c r="H98">
        <v>0</v>
      </c>
      <c r="I98" t="s">
        <v>126</v>
      </c>
      <c r="J98">
        <v>0</v>
      </c>
      <c r="K98">
        <v>0</v>
      </c>
    </row>
    <row r="99" spans="1:13" ht="12.75">
      <c r="A99">
        <v>70</v>
      </c>
      <c r="B99">
        <v>1</v>
      </c>
      <c r="D99">
        <v>28</v>
      </c>
      <c r="E99" t="s">
        <v>141</v>
      </c>
      <c r="F99" t="s">
        <v>142</v>
      </c>
      <c r="G99">
        <v>1</v>
      </c>
      <c r="H99">
        <v>3</v>
      </c>
      <c r="I99" t="s">
        <v>143</v>
      </c>
      <c r="J99">
        <v>0</v>
      </c>
      <c r="K99">
        <v>0</v>
      </c>
    </row>
    <row r="100" spans="1:13" ht="12.75">
      <c r="A100">
        <v>70</v>
      </c>
      <c r="B100">
        <v>1</v>
      </c>
      <c r="D100">
        <v>29</v>
      </c>
      <c r="E100" t="s">
        <v>144</v>
      </c>
      <c r="F100" t="s">
        <v>145</v>
      </c>
      <c r="G100">
        <v>1</v>
      </c>
      <c r="H100">
        <v>2</v>
      </c>
      <c r="I100" t="s">
        <v>146</v>
      </c>
      <c r="J100">
        <v>0</v>
      </c>
      <c r="K100">
        <v>0</v>
      </c>
    </row>
    <row r="101" spans="1:13" ht="12.75">
      <c r="A101">
        <v>70</v>
      </c>
      <c r="B101">
        <v>1</v>
      </c>
      <c r="D101">
        <v>2</v>
      </c>
      <c r="E101" t="s">
        <v>147</v>
      </c>
      <c r="F101" t="s">
        <v>148</v>
      </c>
      <c r="G101">
        <v>1</v>
      </c>
      <c r="H101">
        <v>1.2</v>
      </c>
      <c r="I101" t="s">
        <v>149</v>
      </c>
      <c r="J101">
        <v>0</v>
      </c>
      <c r="K101">
        <v>0</v>
      </c>
    </row>
    <row r="102" spans="1:13" ht="12.75">
      <c r="A102">
        <v>70</v>
      </c>
      <c r="B102">
        <v>1</v>
      </c>
      <c r="D102">
        <v>4</v>
      </c>
      <c r="E102" t="s">
        <v>150</v>
      </c>
      <c r="F102" t="s">
        <v>151</v>
      </c>
      <c r="G102">
        <v>1</v>
      </c>
      <c r="H102">
        <v>1.2</v>
      </c>
      <c r="I102" t="s">
        <v>152</v>
      </c>
      <c r="J102">
        <v>0</v>
      </c>
      <c r="K102">
        <v>0</v>
      </c>
    </row>
    <row r="103" spans="1:13" ht="12.75">
      <c r="A103">
        <v>70</v>
      </c>
      <c r="B103">
        <v>1</v>
      </c>
      <c r="D103">
        <v>3</v>
      </c>
      <c r="E103" t="s">
        <v>153</v>
      </c>
      <c r="F103" t="s">
        <v>154</v>
      </c>
      <c r="G103">
        <v>1</v>
      </c>
      <c r="H103">
        <v>1.35</v>
      </c>
      <c r="I103" t="s">
        <v>155</v>
      </c>
      <c r="J103">
        <v>0</v>
      </c>
      <c r="K103">
        <v>0</v>
      </c>
    </row>
    <row r="104" spans="1:13" ht="12.75">
      <c r="A104">
        <v>70</v>
      </c>
      <c r="B104">
        <v>1</v>
      </c>
      <c r="D104">
        <v>6</v>
      </c>
      <c r="E104" t="s">
        <v>156</v>
      </c>
      <c r="F104" t="s">
        <v>157</v>
      </c>
      <c r="G104">
        <v>1</v>
      </c>
      <c r="H104">
        <v>1.5</v>
      </c>
      <c r="I104" t="s">
        <v>158</v>
      </c>
      <c r="J104">
        <v>0</v>
      </c>
      <c r="K104">
        <v>0</v>
      </c>
    </row>
    <row r="105" spans="1:13" ht="12.75">
      <c r="A105">
        <v>70</v>
      </c>
      <c r="B105">
        <v>1</v>
      </c>
      <c r="D105">
        <v>7</v>
      </c>
      <c r="E105" t="s">
        <v>159</v>
      </c>
      <c r="F105" t="s">
        <v>160</v>
      </c>
      <c r="G105">
        <v>1</v>
      </c>
      <c r="H105">
        <v>1.5</v>
      </c>
      <c r="I105" t="s">
        <v>161</v>
      </c>
      <c r="J105">
        <v>0</v>
      </c>
      <c r="K105">
        <v>0</v>
      </c>
    </row>
    <row r="106" spans="1:13" ht="12.75">
      <c r="A106">
        <v>70</v>
      </c>
      <c r="B106">
        <v>1</v>
      </c>
      <c r="D106">
        <v>8</v>
      </c>
      <c r="E106" t="s">
        <v>162</v>
      </c>
      <c r="F106" t="s">
        <v>163</v>
      </c>
      <c r="G106">
        <v>1</v>
      </c>
      <c r="H106">
        <v>1.35</v>
      </c>
      <c r="I106" t="s">
        <v>164</v>
      </c>
      <c r="J106">
        <v>0</v>
      </c>
      <c r="K106">
        <v>0</v>
      </c>
    </row>
    <row r="107" spans="1:13" ht="12.75">
      <c r="A107">
        <v>70</v>
      </c>
      <c r="B107">
        <v>1</v>
      </c>
      <c r="D107">
        <v>9</v>
      </c>
      <c r="E107" t="s">
        <v>165</v>
      </c>
      <c r="F107" t="s">
        <v>166</v>
      </c>
      <c r="G107">
        <v>1</v>
      </c>
      <c r="H107">
        <v>1.7</v>
      </c>
      <c r="I107" t="s">
        <v>167</v>
      </c>
      <c r="J107">
        <v>0</v>
      </c>
      <c r="K107">
        <v>0</v>
      </c>
    </row>
    <row r="108" spans="1:13" ht="12.75">
      <c r="A108">
        <v>70</v>
      </c>
      <c r="B108">
        <v>1</v>
      </c>
      <c r="D108">
        <v>10</v>
      </c>
      <c r="E108" t="s">
        <v>168</v>
      </c>
      <c r="F108" t="s">
        <v>163</v>
      </c>
      <c r="G108">
        <v>1</v>
      </c>
      <c r="H108">
        <v>1.55</v>
      </c>
      <c r="I108" t="s">
        <v>169</v>
      </c>
      <c r="J108">
        <v>0</v>
      </c>
      <c r="K108">
        <v>0</v>
      </c>
    </row>
    <row r="109" spans="1:13" ht="12.75">
      <c r="A109">
        <v>70</v>
      </c>
      <c r="B109">
        <v>1</v>
      </c>
      <c r="D109">
        <v>11</v>
      </c>
      <c r="E109" t="s">
        <v>170</v>
      </c>
      <c r="F109" t="s">
        <v>171</v>
      </c>
      <c r="G109">
        <v>1</v>
      </c>
      <c r="H109">
        <v>2.05</v>
      </c>
      <c r="I109" t="s">
        <v>172</v>
      </c>
      <c r="J109">
        <v>0</v>
      </c>
      <c r="K109">
        <v>0</v>
      </c>
    </row>
    <row r="110" spans="1:13" ht="12.75">
      <c r="A110">
        <v>70</v>
      </c>
      <c r="B110">
        <v>1</v>
      </c>
      <c r="D110">
        <v>12</v>
      </c>
      <c r="E110" t="s">
        <v>173</v>
      </c>
      <c r="F110" t="s">
        <v>174</v>
      </c>
      <c r="G110">
        <v>1</v>
      </c>
      <c r="H110">
        <v>1.9</v>
      </c>
      <c r="I110" t="s">
        <v>175</v>
      </c>
      <c r="J110">
        <v>0</v>
      </c>
      <c r="K110">
        <v>0</v>
      </c>
    </row>
    <row r="111" spans="1:13" ht="12.75">
      <c r="A111">
        <v>70</v>
      </c>
      <c r="B111">
        <v>1</v>
      </c>
      <c r="D111">
        <v>13</v>
      </c>
      <c r="E111" t="s">
        <v>176</v>
      </c>
      <c r="F111" t="s">
        <v>177</v>
      </c>
      <c r="G111">
        <v>1</v>
      </c>
      <c r="H111">
        <v>2.3</v>
      </c>
      <c r="I111" t="s">
        <v>178</v>
      </c>
      <c r="J111">
        <v>0</v>
      </c>
      <c r="K111">
        <v>0</v>
      </c>
    </row>
    <row r="112" spans="1:13" ht="12.75">
      <c r="A112">
        <v>70</v>
      </c>
      <c r="B112">
        <v>1</v>
      </c>
      <c r="D112">
        <v>14</v>
      </c>
      <c r="E112" t="s">
        <v>179</v>
      </c>
      <c r="F112" t="s">
        <v>174</v>
      </c>
      <c r="G112">
        <v>1</v>
      </c>
      <c r="H112">
        <v>2.15</v>
      </c>
      <c r="I112" t="s">
        <v>180</v>
      </c>
      <c r="J112">
        <v>0</v>
      </c>
      <c r="K112">
        <v>0</v>
      </c>
    </row>
    <row r="113" spans="1:13" ht="12.75">
      <c r="A113">
        <v>70</v>
      </c>
      <c r="B113">
        <v>1</v>
      </c>
      <c r="D113">
        <v>15</v>
      </c>
      <c r="E113" t="s">
        <v>181</v>
      </c>
      <c r="F113" t="s">
        <v>182</v>
      </c>
      <c r="G113">
        <v>1</v>
      </c>
      <c r="H113">
        <v>1.15</v>
      </c>
      <c r="I113" t="s">
        <v>183</v>
      </c>
      <c r="J113">
        <v>0</v>
      </c>
      <c r="K113">
        <v>0</v>
      </c>
    </row>
    <row r="114" spans="1:13" ht="12.75">
      <c r="A114">
        <v>70</v>
      </c>
      <c r="B114">
        <v>1</v>
      </c>
      <c r="D114">
        <v>16</v>
      </c>
      <c r="E114" t="s">
        <v>184</v>
      </c>
      <c r="F114" t="s">
        <v>185</v>
      </c>
      <c r="G114">
        <v>1</v>
      </c>
      <c r="H114">
        <v>1.25</v>
      </c>
      <c r="I114" t="s">
        <v>186</v>
      </c>
      <c r="J114">
        <v>0</v>
      </c>
      <c r="K114">
        <v>0</v>
      </c>
    </row>
    <row r="115" spans="1:13" ht="12.75">
      <c r="A115">
        <v>70</v>
      </c>
      <c r="B115">
        <v>1</v>
      </c>
      <c r="D115">
        <v>17</v>
      </c>
      <c r="E115" t="s">
        <v>187</v>
      </c>
      <c r="F115" t="s">
        <v>188</v>
      </c>
      <c r="G115">
        <v>1</v>
      </c>
      <c r="H115">
        <v>1.2</v>
      </c>
      <c r="I115" t="s">
        <v>189</v>
      </c>
      <c r="J115">
        <v>0</v>
      </c>
      <c r="K115">
        <v>0</v>
      </c>
    </row>
    <row r="116" spans="1:13" ht="12.75">
      <c r="A116">
        <v>70</v>
      </c>
      <c r="B116">
        <v>1</v>
      </c>
      <c r="D116">
        <v>18</v>
      </c>
      <c r="E116" t="s">
        <v>190</v>
      </c>
      <c r="F116" t="s">
        <v>191</v>
      </c>
      <c r="G116">
        <v>1</v>
      </c>
      <c r="H116">
        <v>1.1</v>
      </c>
      <c r="I116" t="s">
        <v>192</v>
      </c>
      <c r="J116">
        <v>0</v>
      </c>
      <c r="K116">
        <v>0</v>
      </c>
    </row>
    <row r="117" spans="1:13" ht="12.75">
      <c r="A117">
        <v>70</v>
      </c>
      <c r="B117">
        <v>1</v>
      </c>
      <c r="D117">
        <v>19</v>
      </c>
      <c r="E117" t="s">
        <v>193</v>
      </c>
      <c r="F117" t="s">
        <v>194</v>
      </c>
      <c r="G117">
        <v>1</v>
      </c>
      <c r="H117">
        <v>1.15</v>
      </c>
      <c r="I117" t="s">
        <v>195</v>
      </c>
      <c r="J117">
        <v>0</v>
      </c>
      <c r="K117">
        <v>0</v>
      </c>
    </row>
    <row r="118" spans="1:13" ht="12.75">
      <c r="A118">
        <v>70</v>
      </c>
      <c r="B118">
        <v>1</v>
      </c>
      <c r="D118">
        <v>20</v>
      </c>
      <c r="E118" t="s">
        <v>196</v>
      </c>
      <c r="F118" t="s">
        <v>197</v>
      </c>
      <c r="G118">
        <v>1</v>
      </c>
      <c r="H118">
        <v>1.15</v>
      </c>
      <c r="I118" t="s">
        <v>198</v>
      </c>
      <c r="J118">
        <v>0</v>
      </c>
      <c r="K118">
        <v>0</v>
      </c>
    </row>
    <row r="119" spans="1:13" ht="12.75">
      <c r="A119">
        <v>70</v>
      </c>
      <c r="B119">
        <v>1</v>
      </c>
      <c r="D119">
        <v>21</v>
      </c>
      <c r="E119" t="s">
        <v>199</v>
      </c>
      <c r="F119" t="s">
        <v>200</v>
      </c>
      <c r="G119">
        <v>1</v>
      </c>
      <c r="H119">
        <v>1.25</v>
      </c>
      <c r="I119" t="s">
        <v>201</v>
      </c>
      <c r="J119">
        <v>0</v>
      </c>
      <c r="K119">
        <v>0</v>
      </c>
    </row>
    <row r="120" spans="1:13" ht="12.75">
      <c r="A120">
        <v>70</v>
      </c>
      <c r="B120">
        <v>1</v>
      </c>
      <c r="D120">
        <v>22</v>
      </c>
      <c r="E120" t="s">
        <v>202</v>
      </c>
      <c r="F120" t="s">
        <v>203</v>
      </c>
      <c r="G120">
        <v>1</v>
      </c>
      <c r="H120">
        <v>1.35</v>
      </c>
      <c r="I120" t="s">
        <v>204</v>
      </c>
      <c r="J120">
        <v>0</v>
      </c>
      <c r="K120">
        <v>0</v>
      </c>
    </row>
    <row r="121" spans="1:13" ht="12.75">
      <c r="A121">
        <v>70</v>
      </c>
      <c r="B121">
        <v>1</v>
      </c>
      <c r="D121">
        <v>23</v>
      </c>
      <c r="E121" t="s">
        <v>205</v>
      </c>
      <c r="F121" t="s">
        <v>206</v>
      </c>
      <c r="G121">
        <v>1</v>
      </c>
      <c r="H121">
        <v>1.5</v>
      </c>
      <c r="I121" t="s">
        <v>207</v>
      </c>
      <c r="J121">
        <v>0</v>
      </c>
      <c r="K121">
        <v>0</v>
      </c>
    </row>
    <row r="122" spans="1:13" ht="12.75">
      <c r="A122">
        <v>70</v>
      </c>
      <c r="B122">
        <v>1</v>
      </c>
      <c r="D122">
        <v>44</v>
      </c>
      <c r="E122" t="s">
        <v>208</v>
      </c>
      <c r="F122" t="s">
        <v>209</v>
      </c>
      <c r="G122">
        <v>1</v>
      </c>
      <c r="H122">
        <v>1.35</v>
      </c>
      <c r="I122" t="s">
        <v>210</v>
      </c>
      <c r="J122">
        <v>0</v>
      </c>
      <c r="K122">
        <v>0</v>
      </c>
    </row>
    <row r="123" spans="1:13" ht="12.75">
      <c r="A123">
        <v>70</v>
      </c>
      <c r="B123">
        <v>1</v>
      </c>
      <c r="D123">
        <v>46</v>
      </c>
      <c r="E123" t="s">
        <v>211</v>
      </c>
      <c r="F123" t="s">
        <v>212</v>
      </c>
      <c r="G123">
        <v>0</v>
      </c>
      <c r="H123">
        <v>0</v>
      </c>
      <c r="I123" t="s">
        <v>126</v>
      </c>
      <c r="J123">
        <v>0</v>
      </c>
      <c r="K123">
        <v>0</v>
      </c>
    </row>
    <row r="124" spans="1:13" ht="12.75">
      <c r="A124">
        <v>70</v>
      </c>
      <c r="B124">
        <v>1</v>
      </c>
      <c r="D124">
        <v>47</v>
      </c>
      <c r="E124" t="s">
        <v>213</v>
      </c>
      <c r="F124" t="s">
        <v>214</v>
      </c>
      <c r="G124">
        <v>1</v>
      </c>
      <c r="H124">
        <v>1.15</v>
      </c>
      <c r="I124" t="s">
        <v>215</v>
      </c>
      <c r="J124">
        <v>0</v>
      </c>
      <c r="K124">
        <v>0</v>
      </c>
    </row>
    <row r="125" spans="1:13" ht="12.75">
      <c r="A125">
        <v>70</v>
      </c>
      <c r="B125">
        <v>1</v>
      </c>
      <c r="D125">
        <v>48</v>
      </c>
      <c r="E125" t="s">
        <v>216</v>
      </c>
      <c r="F125" t="s">
        <v>217</v>
      </c>
      <c r="G125">
        <v>1</v>
      </c>
      <c r="H125">
        <v>1.25</v>
      </c>
      <c r="I125" t="s">
        <v>218</v>
      </c>
      <c r="J125">
        <v>0</v>
      </c>
      <c r="K125">
        <v>0</v>
      </c>
    </row>
    <row r="126" spans="1:13" ht="12.75">
      <c r="A126">
        <v>70</v>
      </c>
      <c r="B126">
        <v>1</v>
      </c>
      <c r="D126">
        <v>49</v>
      </c>
      <c r="E126" t="s">
        <v>219</v>
      </c>
      <c r="F126" t="s">
        <v>220</v>
      </c>
      <c r="G126">
        <v>1</v>
      </c>
      <c r="H126">
        <v>1.1</v>
      </c>
      <c r="I126" t="s">
        <v>221</v>
      </c>
      <c r="J126">
        <v>0</v>
      </c>
      <c r="K126">
        <v>0</v>
      </c>
    </row>
    <row r="127" spans="1:13" ht="12.75">
      <c r="A127">
        <v>70</v>
      </c>
      <c r="B127">
        <v>1</v>
      </c>
      <c r="D127">
        <v>45</v>
      </c>
      <c r="E127" t="s">
        <v>222</v>
      </c>
      <c r="F127" t="s">
        <v>223</v>
      </c>
      <c r="G127">
        <v>1</v>
      </c>
      <c r="H127">
        <v>1.5</v>
      </c>
      <c r="I127" t="s">
        <v>224</v>
      </c>
      <c r="J127">
        <v>0</v>
      </c>
      <c r="K127">
        <v>0</v>
      </c>
    </row>
    <row r="128" spans="1:13" ht="12.75">
      <c r="A128">
        <v>70</v>
      </c>
      <c r="B128">
        <v>1</v>
      </c>
      <c r="D128">
        <v>51</v>
      </c>
      <c r="E128" t="s">
        <v>225</v>
      </c>
      <c r="F128" t="s">
        <v>226</v>
      </c>
      <c r="G128">
        <v>1</v>
      </c>
      <c r="H128">
        <v>1.1</v>
      </c>
      <c r="I128" t="s">
        <v>227</v>
      </c>
      <c r="J128">
        <v>0</v>
      </c>
      <c r="K128">
        <v>0</v>
      </c>
    </row>
    <row r="129" spans="1:13" ht="12.75">
      <c r="A129">
        <v>70</v>
      </c>
      <c r="B129">
        <v>1</v>
      </c>
      <c r="D129">
        <v>50</v>
      </c>
      <c r="E129" t="s">
        <v>228</v>
      </c>
      <c r="F129" t="s">
        <v>229</v>
      </c>
      <c r="G129">
        <v>1</v>
      </c>
      <c r="H129">
        <v>1.35</v>
      </c>
      <c r="I129" t="s">
        <v>230</v>
      </c>
      <c r="J129">
        <v>0</v>
      </c>
      <c r="K129">
        <v>0</v>
      </c>
    </row>
    <row r="132" spans="1:5" ht="12.75">
      <c r="A132">
        <v>65</v>
      </c>
      <c r="C132">
        <v>1</v>
      </c>
      <c r="D132">
        <v>0</v>
      </c>
      <c r="E132">
        <v>150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ROW(Source!A24)</f>
        <v>24</v>
      </c>
      <c r="B1">
        <v>7507427</v>
      </c>
      <c r="C1">
        <v>7507426</v>
      </c>
      <c r="D1">
        <v>121548</v>
      </c>
      <c r="E1">
        <v>1</v>
      </c>
      <c r="F1">
        <v>1</v>
      </c>
      <c r="G1">
        <v>1</v>
      </c>
      <c r="H1">
        <v>1</v>
      </c>
      <c r="I1" t="s">
        <v>24</v>
      </c>
      <c r="K1" t="s">
        <v>231</v>
      </c>
      <c r="L1">
        <v>608254</v>
      </c>
      <c r="N1">
        <v>1013</v>
      </c>
      <c r="O1" t="s">
        <v>232</v>
      </c>
      <c r="P1" t="s">
        <v>232</v>
      </c>
      <c r="Q1">
        <v>1</v>
      </c>
      <c r="Y1">
        <v>0.38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0.38</v>
      </c>
      <c r="AV1">
        <v>2</v>
      </c>
    </row>
    <row r="2" spans="1:48" ht="12.75">
      <c r="A2">
        <f>ROW(Source!A24)</f>
        <v>24</v>
      </c>
      <c r="B2">
        <v>7507428</v>
      </c>
      <c r="C2">
        <v>7507426</v>
      </c>
      <c r="D2">
        <v>5494541</v>
      </c>
      <c r="E2">
        <v>1</v>
      </c>
      <c r="F2">
        <v>1</v>
      </c>
      <c r="G2">
        <v>1</v>
      </c>
      <c r="H2">
        <v>2</v>
      </c>
      <c r="I2" t="s">
        <v>233</v>
      </c>
      <c r="J2" t="s">
        <v>234</v>
      </c>
      <c r="K2" t="s">
        <v>235</v>
      </c>
      <c r="L2">
        <v>1368</v>
      </c>
      <c r="N2">
        <v>1011</v>
      </c>
      <c r="O2" t="s">
        <v>236</v>
      </c>
      <c r="P2" t="s">
        <v>236</v>
      </c>
      <c r="Q2">
        <v>1</v>
      </c>
      <c r="Y2">
        <v>0.38</v>
      </c>
      <c r="AA2">
        <v>0</v>
      </c>
      <c r="AB2">
        <v>61.3</v>
      </c>
      <c r="AC2">
        <v>13.5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0.38</v>
      </c>
      <c r="AV2">
        <v>0</v>
      </c>
    </row>
    <row r="3" spans="1:48" ht="12.75">
      <c r="A3">
        <f>ROW(Source!A25)</f>
        <v>25</v>
      </c>
      <c r="B3">
        <v>7507288</v>
      </c>
      <c r="C3">
        <v>7507287</v>
      </c>
      <c r="D3">
        <v>5515096</v>
      </c>
      <c r="E3">
        <v>1</v>
      </c>
      <c r="F3">
        <v>1</v>
      </c>
      <c r="G3">
        <v>1</v>
      </c>
      <c r="H3">
        <v>1</v>
      </c>
      <c r="I3" t="s">
        <v>237</v>
      </c>
      <c r="K3" t="s">
        <v>238</v>
      </c>
      <c r="L3">
        <v>1369</v>
      </c>
      <c r="N3">
        <v>1013</v>
      </c>
      <c r="O3" t="s">
        <v>239</v>
      </c>
      <c r="P3" t="s">
        <v>239</v>
      </c>
      <c r="Q3">
        <v>1</v>
      </c>
      <c r="Y3">
        <v>15.72</v>
      </c>
      <c r="AA3">
        <v>0</v>
      </c>
      <c r="AB3">
        <v>0</v>
      </c>
      <c r="AC3">
        <v>0</v>
      </c>
      <c r="AD3">
        <v>8.02</v>
      </c>
      <c r="AN3">
        <v>0</v>
      </c>
      <c r="AO3">
        <v>1</v>
      </c>
      <c r="AP3">
        <v>0</v>
      </c>
      <c r="AQ3">
        <v>0</v>
      </c>
      <c r="AR3">
        <v>0</v>
      </c>
      <c r="AT3">
        <v>15.72</v>
      </c>
      <c r="AV3">
        <v>1</v>
      </c>
    </row>
    <row r="4" spans="1:48" ht="12.75">
      <c r="A4">
        <f>ROW(Source!A25)</f>
        <v>25</v>
      </c>
      <c r="B4">
        <v>7507289</v>
      </c>
      <c r="C4">
        <v>7507287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24</v>
      </c>
      <c r="K4" t="s">
        <v>231</v>
      </c>
      <c r="L4">
        <v>608254</v>
      </c>
      <c r="N4">
        <v>1013</v>
      </c>
      <c r="O4" t="s">
        <v>232</v>
      </c>
      <c r="P4" t="s">
        <v>232</v>
      </c>
      <c r="Q4">
        <v>1</v>
      </c>
      <c r="Y4">
        <v>13.88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13.88</v>
      </c>
      <c r="AV4">
        <v>2</v>
      </c>
    </row>
    <row r="5" spans="1:48" ht="12.75">
      <c r="A5">
        <f>ROW(Source!A25)</f>
        <v>25</v>
      </c>
      <c r="B5">
        <v>7507290</v>
      </c>
      <c r="C5">
        <v>7507287</v>
      </c>
      <c r="D5">
        <v>5494044</v>
      </c>
      <c r="E5">
        <v>1</v>
      </c>
      <c r="F5">
        <v>1</v>
      </c>
      <c r="G5">
        <v>1</v>
      </c>
      <c r="H5">
        <v>2</v>
      </c>
      <c r="I5" t="s">
        <v>240</v>
      </c>
      <c r="J5" t="s">
        <v>241</v>
      </c>
      <c r="K5" t="s">
        <v>242</v>
      </c>
      <c r="L5">
        <v>1368</v>
      </c>
      <c r="N5">
        <v>1011</v>
      </c>
      <c r="O5" t="s">
        <v>236</v>
      </c>
      <c r="P5" t="s">
        <v>236</v>
      </c>
      <c r="Q5">
        <v>1</v>
      </c>
      <c r="Y5">
        <v>4.29</v>
      </c>
      <c r="AA5">
        <v>0</v>
      </c>
      <c r="AB5">
        <v>90</v>
      </c>
      <c r="AC5">
        <v>10.06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4.29</v>
      </c>
      <c r="AV5">
        <v>0</v>
      </c>
    </row>
    <row r="6" spans="1:48" ht="12.75">
      <c r="A6">
        <f>ROW(Source!A25)</f>
        <v>25</v>
      </c>
      <c r="B6">
        <v>7507291</v>
      </c>
      <c r="C6">
        <v>7507287</v>
      </c>
      <c r="D6">
        <v>5495050</v>
      </c>
      <c r="E6">
        <v>1</v>
      </c>
      <c r="F6">
        <v>1</v>
      </c>
      <c r="G6">
        <v>1</v>
      </c>
      <c r="H6">
        <v>2</v>
      </c>
      <c r="I6" t="s">
        <v>243</v>
      </c>
      <c r="J6" t="s">
        <v>244</v>
      </c>
      <c r="K6" t="s">
        <v>245</v>
      </c>
      <c r="L6">
        <v>1368</v>
      </c>
      <c r="N6">
        <v>1011</v>
      </c>
      <c r="O6" t="s">
        <v>236</v>
      </c>
      <c r="P6" t="s">
        <v>236</v>
      </c>
      <c r="Q6">
        <v>1</v>
      </c>
      <c r="Y6">
        <v>1.77</v>
      </c>
      <c r="AA6">
        <v>0</v>
      </c>
      <c r="AB6">
        <v>123</v>
      </c>
      <c r="AC6">
        <v>13.5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1.77</v>
      </c>
      <c r="AV6">
        <v>0</v>
      </c>
    </row>
    <row r="7" spans="1:48" ht="12.75">
      <c r="A7">
        <f>ROW(Source!A25)</f>
        <v>25</v>
      </c>
      <c r="B7">
        <v>7507292</v>
      </c>
      <c r="C7">
        <v>7507287</v>
      </c>
      <c r="D7">
        <v>5495095</v>
      </c>
      <c r="E7">
        <v>1</v>
      </c>
      <c r="F7">
        <v>1</v>
      </c>
      <c r="G7">
        <v>1</v>
      </c>
      <c r="H7">
        <v>2</v>
      </c>
      <c r="I7" t="s">
        <v>246</v>
      </c>
      <c r="J7" t="s">
        <v>247</v>
      </c>
      <c r="K7" t="s">
        <v>248</v>
      </c>
      <c r="L7">
        <v>1368</v>
      </c>
      <c r="N7">
        <v>1011</v>
      </c>
      <c r="O7" t="s">
        <v>236</v>
      </c>
      <c r="P7" t="s">
        <v>236</v>
      </c>
      <c r="Q7">
        <v>1</v>
      </c>
      <c r="Y7">
        <v>7.08</v>
      </c>
      <c r="AA7">
        <v>0</v>
      </c>
      <c r="AB7">
        <v>206.01</v>
      </c>
      <c r="AC7">
        <v>14.4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7.08</v>
      </c>
      <c r="AV7">
        <v>0</v>
      </c>
    </row>
    <row r="8" spans="1:48" ht="12.75">
      <c r="A8">
        <f>ROW(Source!A25)</f>
        <v>25</v>
      </c>
      <c r="B8">
        <v>7507293</v>
      </c>
      <c r="C8">
        <v>7507287</v>
      </c>
      <c r="D8">
        <v>5495148</v>
      </c>
      <c r="E8">
        <v>1</v>
      </c>
      <c r="F8">
        <v>1</v>
      </c>
      <c r="G8">
        <v>1</v>
      </c>
      <c r="H8">
        <v>2</v>
      </c>
      <c r="I8" t="s">
        <v>249</v>
      </c>
      <c r="J8" t="s">
        <v>250</v>
      </c>
      <c r="K8" t="s">
        <v>251</v>
      </c>
      <c r="L8">
        <v>1368</v>
      </c>
      <c r="N8">
        <v>1011</v>
      </c>
      <c r="O8" t="s">
        <v>236</v>
      </c>
      <c r="P8" t="s">
        <v>236</v>
      </c>
      <c r="Q8">
        <v>1</v>
      </c>
      <c r="Y8">
        <v>0.74</v>
      </c>
      <c r="AA8">
        <v>0</v>
      </c>
      <c r="AB8">
        <v>110</v>
      </c>
      <c r="AC8">
        <v>11.6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0.74</v>
      </c>
      <c r="AV8">
        <v>0</v>
      </c>
    </row>
    <row r="9" spans="1:48" ht="12.75">
      <c r="A9">
        <f>ROW(Source!A25)</f>
        <v>25</v>
      </c>
      <c r="B9">
        <v>7507294</v>
      </c>
      <c r="C9">
        <v>7507287</v>
      </c>
      <c r="D9">
        <v>5469592</v>
      </c>
      <c r="E9">
        <v>1</v>
      </c>
      <c r="F9">
        <v>1</v>
      </c>
      <c r="G9">
        <v>1</v>
      </c>
      <c r="H9">
        <v>3</v>
      </c>
      <c r="I9" t="s">
        <v>252</v>
      </c>
      <c r="J9" t="s">
        <v>253</v>
      </c>
      <c r="K9" t="s">
        <v>254</v>
      </c>
      <c r="L9">
        <v>1339</v>
      </c>
      <c r="N9">
        <v>1007</v>
      </c>
      <c r="O9" t="s">
        <v>44</v>
      </c>
      <c r="P9" t="s">
        <v>44</v>
      </c>
      <c r="Q9">
        <v>1</v>
      </c>
      <c r="Y9">
        <v>110</v>
      </c>
      <c r="AA9">
        <v>59.99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110</v>
      </c>
      <c r="AV9">
        <v>0</v>
      </c>
    </row>
    <row r="10" spans="1:48" ht="12.75">
      <c r="A10">
        <f>ROW(Source!A25)</f>
        <v>25</v>
      </c>
      <c r="B10">
        <v>7507295</v>
      </c>
      <c r="C10">
        <v>7507287</v>
      </c>
      <c r="D10">
        <v>5470416</v>
      </c>
      <c r="E10">
        <v>1</v>
      </c>
      <c r="F10">
        <v>1</v>
      </c>
      <c r="G10">
        <v>1</v>
      </c>
      <c r="H10">
        <v>3</v>
      </c>
      <c r="I10" t="s">
        <v>255</v>
      </c>
      <c r="J10" t="s">
        <v>256</v>
      </c>
      <c r="K10" t="s">
        <v>257</v>
      </c>
      <c r="L10">
        <v>1339</v>
      </c>
      <c r="N10">
        <v>1007</v>
      </c>
      <c r="O10" t="s">
        <v>44</v>
      </c>
      <c r="P10" t="s">
        <v>44</v>
      </c>
      <c r="Q10">
        <v>1</v>
      </c>
      <c r="Y10">
        <v>5</v>
      </c>
      <c r="AA10">
        <v>2.44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5</v>
      </c>
      <c r="AV10">
        <v>0</v>
      </c>
    </row>
    <row r="11" spans="1:48" ht="12.75">
      <c r="A11">
        <f>ROW(Source!A26)</f>
        <v>26</v>
      </c>
      <c r="B11">
        <v>7507249</v>
      </c>
      <c r="C11">
        <v>7507248</v>
      </c>
      <c r="D11">
        <v>5516543</v>
      </c>
      <c r="E11">
        <v>1</v>
      </c>
      <c r="F11">
        <v>1</v>
      </c>
      <c r="G11">
        <v>1</v>
      </c>
      <c r="H11">
        <v>1</v>
      </c>
      <c r="I11" t="s">
        <v>258</v>
      </c>
      <c r="K11" t="s">
        <v>259</v>
      </c>
      <c r="L11">
        <v>1369</v>
      </c>
      <c r="N11">
        <v>1013</v>
      </c>
      <c r="O11" t="s">
        <v>239</v>
      </c>
      <c r="P11" t="s">
        <v>239</v>
      </c>
      <c r="Q11">
        <v>1</v>
      </c>
      <c r="Y11">
        <v>38.26</v>
      </c>
      <c r="AA11">
        <v>0</v>
      </c>
      <c r="AB11">
        <v>0</v>
      </c>
      <c r="AC11">
        <v>0</v>
      </c>
      <c r="AD11">
        <v>8.24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38.26</v>
      </c>
      <c r="AV11">
        <v>1</v>
      </c>
    </row>
    <row r="12" spans="1:48" ht="12.75">
      <c r="A12">
        <f>ROW(Source!A26)</f>
        <v>26</v>
      </c>
      <c r="B12">
        <v>7507250</v>
      </c>
      <c r="C12">
        <v>7507248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24</v>
      </c>
      <c r="K12" t="s">
        <v>231</v>
      </c>
      <c r="L12">
        <v>608254</v>
      </c>
      <c r="N12">
        <v>1013</v>
      </c>
      <c r="O12" t="s">
        <v>232</v>
      </c>
      <c r="P12" t="s">
        <v>232</v>
      </c>
      <c r="Q12">
        <v>1</v>
      </c>
      <c r="Y12">
        <v>16.36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16.36</v>
      </c>
      <c r="AV12">
        <v>2</v>
      </c>
    </row>
    <row r="13" spans="1:48" ht="12.75">
      <c r="A13">
        <f>ROW(Source!A26)</f>
        <v>26</v>
      </c>
      <c r="B13">
        <v>7507251</v>
      </c>
      <c r="C13">
        <v>7507248</v>
      </c>
      <c r="D13">
        <v>5493882</v>
      </c>
      <c r="E13">
        <v>1</v>
      </c>
      <c r="F13">
        <v>1</v>
      </c>
      <c r="G13">
        <v>1</v>
      </c>
      <c r="H13">
        <v>2</v>
      </c>
      <c r="I13" t="s">
        <v>260</v>
      </c>
      <c r="J13" t="s">
        <v>261</v>
      </c>
      <c r="K13" t="s">
        <v>262</v>
      </c>
      <c r="L13">
        <v>1368</v>
      </c>
      <c r="N13">
        <v>1011</v>
      </c>
      <c r="O13" t="s">
        <v>236</v>
      </c>
      <c r="P13" t="s">
        <v>236</v>
      </c>
      <c r="Q13">
        <v>1</v>
      </c>
      <c r="Y13">
        <v>10.39</v>
      </c>
      <c r="AA13">
        <v>0</v>
      </c>
      <c r="AB13">
        <v>112</v>
      </c>
      <c r="AC13">
        <v>13.5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10.39</v>
      </c>
      <c r="AV13">
        <v>0</v>
      </c>
    </row>
    <row r="14" spans="1:48" ht="12.75">
      <c r="A14">
        <f>ROW(Source!A26)</f>
        <v>26</v>
      </c>
      <c r="B14">
        <v>7507252</v>
      </c>
      <c r="C14">
        <v>7507248</v>
      </c>
      <c r="D14">
        <v>5495050</v>
      </c>
      <c r="E14">
        <v>1</v>
      </c>
      <c r="F14">
        <v>1</v>
      </c>
      <c r="G14">
        <v>1</v>
      </c>
      <c r="H14">
        <v>2</v>
      </c>
      <c r="I14" t="s">
        <v>243</v>
      </c>
      <c r="J14" t="s">
        <v>244</v>
      </c>
      <c r="K14" t="s">
        <v>245</v>
      </c>
      <c r="L14">
        <v>1368</v>
      </c>
      <c r="N14">
        <v>1011</v>
      </c>
      <c r="O14" t="s">
        <v>236</v>
      </c>
      <c r="P14" t="s">
        <v>236</v>
      </c>
      <c r="Q14">
        <v>1</v>
      </c>
      <c r="Y14">
        <v>0.31</v>
      </c>
      <c r="AA14">
        <v>0</v>
      </c>
      <c r="AB14">
        <v>123</v>
      </c>
      <c r="AC14">
        <v>13.5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0.31</v>
      </c>
      <c r="AV14">
        <v>0</v>
      </c>
    </row>
    <row r="15" spans="1:48" ht="12.75">
      <c r="A15">
        <f>ROW(Source!A26)</f>
        <v>26</v>
      </c>
      <c r="B15">
        <v>7507253</v>
      </c>
      <c r="C15">
        <v>7507248</v>
      </c>
      <c r="D15">
        <v>5495148</v>
      </c>
      <c r="E15">
        <v>1</v>
      </c>
      <c r="F15">
        <v>1</v>
      </c>
      <c r="G15">
        <v>1</v>
      </c>
      <c r="H15">
        <v>2</v>
      </c>
      <c r="I15" t="s">
        <v>249</v>
      </c>
      <c r="J15" t="s">
        <v>250</v>
      </c>
      <c r="K15" t="s">
        <v>251</v>
      </c>
      <c r="L15">
        <v>1368</v>
      </c>
      <c r="N15">
        <v>1011</v>
      </c>
      <c r="O15" t="s">
        <v>236</v>
      </c>
      <c r="P15" t="s">
        <v>236</v>
      </c>
      <c r="Q15">
        <v>1</v>
      </c>
      <c r="Y15">
        <v>0.4</v>
      </c>
      <c r="AA15">
        <v>0</v>
      </c>
      <c r="AB15">
        <v>110</v>
      </c>
      <c r="AC15">
        <v>11.6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0.4</v>
      </c>
      <c r="AV15">
        <v>0</v>
      </c>
    </row>
    <row r="16" spans="1:48" ht="12.75">
      <c r="A16">
        <f>ROW(Source!A26)</f>
        <v>26</v>
      </c>
      <c r="B16">
        <v>7507254</v>
      </c>
      <c r="C16">
        <v>7507248</v>
      </c>
      <c r="D16">
        <v>5496870</v>
      </c>
      <c r="E16">
        <v>1</v>
      </c>
      <c r="F16">
        <v>1</v>
      </c>
      <c r="G16">
        <v>1</v>
      </c>
      <c r="H16">
        <v>2</v>
      </c>
      <c r="I16" t="s">
        <v>263</v>
      </c>
      <c r="J16" t="s">
        <v>264</v>
      </c>
      <c r="K16" t="s">
        <v>265</v>
      </c>
      <c r="L16">
        <v>1368</v>
      </c>
      <c r="N16">
        <v>1011</v>
      </c>
      <c r="O16" t="s">
        <v>236</v>
      </c>
      <c r="P16" t="s">
        <v>236</v>
      </c>
      <c r="Q16">
        <v>1</v>
      </c>
      <c r="Y16">
        <v>5.26</v>
      </c>
      <c r="AA16">
        <v>0</v>
      </c>
      <c r="AB16">
        <v>75.4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5.26</v>
      </c>
      <c r="AV16">
        <v>0</v>
      </c>
    </row>
    <row r="17" spans="1:48" ht="12.75">
      <c r="A17">
        <f>ROW(Source!A27)</f>
        <v>27</v>
      </c>
      <c r="B17">
        <v>7507241</v>
      </c>
      <c r="C17">
        <v>7507240</v>
      </c>
      <c r="D17">
        <v>5518064</v>
      </c>
      <c r="E17">
        <v>1</v>
      </c>
      <c r="F17">
        <v>1</v>
      </c>
      <c r="G17">
        <v>1</v>
      </c>
      <c r="H17">
        <v>1</v>
      </c>
      <c r="I17" t="s">
        <v>266</v>
      </c>
      <c r="K17" t="s">
        <v>267</v>
      </c>
      <c r="L17">
        <v>1369</v>
      </c>
      <c r="N17">
        <v>1013</v>
      </c>
      <c r="O17" t="s">
        <v>239</v>
      </c>
      <c r="P17" t="s">
        <v>239</v>
      </c>
      <c r="Q17">
        <v>1</v>
      </c>
      <c r="Y17">
        <v>51.23</v>
      </c>
      <c r="AA17">
        <v>0</v>
      </c>
      <c r="AB17">
        <v>0</v>
      </c>
      <c r="AC17">
        <v>0</v>
      </c>
      <c r="AD17">
        <v>8.38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51.23</v>
      </c>
      <c r="AV17">
        <v>1</v>
      </c>
    </row>
    <row r="18" spans="1:48" ht="12.75">
      <c r="A18">
        <f>ROW(Source!A27)</f>
        <v>27</v>
      </c>
      <c r="B18">
        <v>7507242</v>
      </c>
      <c r="C18">
        <v>7507240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24</v>
      </c>
      <c r="K18" t="s">
        <v>231</v>
      </c>
      <c r="L18">
        <v>608254</v>
      </c>
      <c r="N18">
        <v>1013</v>
      </c>
      <c r="O18" t="s">
        <v>232</v>
      </c>
      <c r="P18" t="s">
        <v>232</v>
      </c>
      <c r="Q18">
        <v>1</v>
      </c>
      <c r="Y18">
        <v>11.13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11.13</v>
      </c>
      <c r="AV18">
        <v>2</v>
      </c>
    </row>
    <row r="19" spans="1:48" ht="12.75">
      <c r="A19">
        <f>ROW(Source!A27)</f>
        <v>27</v>
      </c>
      <c r="B19">
        <v>7507243</v>
      </c>
      <c r="C19">
        <v>7507240</v>
      </c>
      <c r="D19">
        <v>5493882</v>
      </c>
      <c r="E19">
        <v>1</v>
      </c>
      <c r="F19">
        <v>1</v>
      </c>
      <c r="G19">
        <v>1</v>
      </c>
      <c r="H19">
        <v>2</v>
      </c>
      <c r="I19" t="s">
        <v>260</v>
      </c>
      <c r="J19" t="s">
        <v>261</v>
      </c>
      <c r="K19" t="s">
        <v>262</v>
      </c>
      <c r="L19">
        <v>1368</v>
      </c>
      <c r="N19">
        <v>1011</v>
      </c>
      <c r="O19" t="s">
        <v>236</v>
      </c>
      <c r="P19" t="s">
        <v>236</v>
      </c>
      <c r="Q19">
        <v>1</v>
      </c>
      <c r="Y19">
        <v>10.39</v>
      </c>
      <c r="AA19">
        <v>0</v>
      </c>
      <c r="AB19">
        <v>112</v>
      </c>
      <c r="AC19">
        <v>13.5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10.39</v>
      </c>
      <c r="AV19">
        <v>0</v>
      </c>
    </row>
    <row r="20" spans="1:48" ht="12.75">
      <c r="A20">
        <f>ROW(Source!A27)</f>
        <v>27</v>
      </c>
      <c r="B20">
        <v>7507244</v>
      </c>
      <c r="C20">
        <v>7507240</v>
      </c>
      <c r="D20">
        <v>5494044</v>
      </c>
      <c r="E20">
        <v>1</v>
      </c>
      <c r="F20">
        <v>1</v>
      </c>
      <c r="G20">
        <v>1</v>
      </c>
      <c r="H20">
        <v>2</v>
      </c>
      <c r="I20" t="s">
        <v>240</v>
      </c>
      <c r="J20" t="s">
        <v>241</v>
      </c>
      <c r="K20" t="s">
        <v>242</v>
      </c>
      <c r="L20">
        <v>1368</v>
      </c>
      <c r="N20">
        <v>1011</v>
      </c>
      <c r="O20" t="s">
        <v>236</v>
      </c>
      <c r="P20" t="s">
        <v>236</v>
      </c>
      <c r="Q20">
        <v>1</v>
      </c>
      <c r="Y20">
        <v>0.08</v>
      </c>
      <c r="AA20">
        <v>0</v>
      </c>
      <c r="AB20">
        <v>90</v>
      </c>
      <c r="AC20">
        <v>10.06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0.08</v>
      </c>
      <c r="AV20">
        <v>0</v>
      </c>
    </row>
    <row r="21" spans="1:48" ht="12.75">
      <c r="A21">
        <f>ROW(Source!A27)</f>
        <v>27</v>
      </c>
      <c r="B21">
        <v>7507245</v>
      </c>
      <c r="C21">
        <v>7507240</v>
      </c>
      <c r="D21">
        <v>5495050</v>
      </c>
      <c r="E21">
        <v>1</v>
      </c>
      <c r="F21">
        <v>1</v>
      </c>
      <c r="G21">
        <v>1</v>
      </c>
      <c r="H21">
        <v>2</v>
      </c>
      <c r="I21" t="s">
        <v>243</v>
      </c>
      <c r="J21" t="s">
        <v>244</v>
      </c>
      <c r="K21" t="s">
        <v>245</v>
      </c>
      <c r="L21">
        <v>1368</v>
      </c>
      <c r="N21">
        <v>1011</v>
      </c>
      <c r="O21" t="s">
        <v>236</v>
      </c>
      <c r="P21" t="s">
        <v>236</v>
      </c>
      <c r="Q21">
        <v>1</v>
      </c>
      <c r="Y21">
        <v>0.66</v>
      </c>
      <c r="AA21">
        <v>0</v>
      </c>
      <c r="AB21">
        <v>123</v>
      </c>
      <c r="AC21">
        <v>13.5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0.66</v>
      </c>
      <c r="AV21">
        <v>0</v>
      </c>
    </row>
    <row r="22" spans="1:48" ht="12.75">
      <c r="A22">
        <f>ROW(Source!A27)</f>
        <v>27</v>
      </c>
      <c r="B22">
        <v>7507246</v>
      </c>
      <c r="C22">
        <v>7507240</v>
      </c>
      <c r="D22">
        <v>5469594</v>
      </c>
      <c r="E22">
        <v>1</v>
      </c>
      <c r="F22">
        <v>1</v>
      </c>
      <c r="G22">
        <v>1</v>
      </c>
      <c r="H22">
        <v>3</v>
      </c>
      <c r="I22" t="s">
        <v>268</v>
      </c>
      <c r="J22" t="s">
        <v>269</v>
      </c>
      <c r="K22" t="s">
        <v>270</v>
      </c>
      <c r="L22">
        <v>1339</v>
      </c>
      <c r="N22">
        <v>1007</v>
      </c>
      <c r="O22" t="s">
        <v>44</v>
      </c>
      <c r="P22" t="s">
        <v>44</v>
      </c>
      <c r="Q22">
        <v>1</v>
      </c>
      <c r="Y22">
        <v>1.18</v>
      </c>
      <c r="AA22">
        <v>55.26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1.18</v>
      </c>
      <c r="AV22">
        <v>0</v>
      </c>
    </row>
    <row r="23" spans="1:48" ht="12.75">
      <c r="A23">
        <f>ROW(Source!A27)</f>
        <v>27</v>
      </c>
      <c r="B23">
        <v>7507247</v>
      </c>
      <c r="C23">
        <v>7507240</v>
      </c>
      <c r="D23">
        <v>5473853</v>
      </c>
      <c r="E23">
        <v>1</v>
      </c>
      <c r="F23">
        <v>1</v>
      </c>
      <c r="G23">
        <v>1</v>
      </c>
      <c r="H23">
        <v>3</v>
      </c>
      <c r="I23" t="s">
        <v>42</v>
      </c>
      <c r="J23" t="s">
        <v>45</v>
      </c>
      <c r="K23" t="s">
        <v>43</v>
      </c>
      <c r="L23">
        <v>1339</v>
      </c>
      <c r="N23">
        <v>1007</v>
      </c>
      <c r="O23" t="s">
        <v>44</v>
      </c>
      <c r="P23" t="s">
        <v>44</v>
      </c>
      <c r="Q23">
        <v>1</v>
      </c>
      <c r="Y23">
        <v>-100</v>
      </c>
      <c r="AA23">
        <v>964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-100</v>
      </c>
      <c r="AV23">
        <v>0</v>
      </c>
    </row>
    <row r="24" spans="1:48" ht="12.75">
      <c r="A24">
        <f>ROW(Source!A29)</f>
        <v>29</v>
      </c>
      <c r="B24">
        <v>7507264</v>
      </c>
      <c r="C24">
        <v>7507256</v>
      </c>
      <c r="D24">
        <v>5518064</v>
      </c>
      <c r="E24">
        <v>1</v>
      </c>
      <c r="F24">
        <v>1</v>
      </c>
      <c r="G24">
        <v>1</v>
      </c>
      <c r="H24">
        <v>1</v>
      </c>
      <c r="I24" t="s">
        <v>266</v>
      </c>
      <c r="K24" t="s">
        <v>267</v>
      </c>
      <c r="L24">
        <v>1369</v>
      </c>
      <c r="N24">
        <v>1013</v>
      </c>
      <c r="O24" t="s">
        <v>239</v>
      </c>
      <c r="P24" t="s">
        <v>239</v>
      </c>
      <c r="Q24">
        <v>1</v>
      </c>
      <c r="Y24">
        <v>51.23</v>
      </c>
      <c r="AA24">
        <v>0</v>
      </c>
      <c r="AB24">
        <v>0</v>
      </c>
      <c r="AC24">
        <v>0</v>
      </c>
      <c r="AD24">
        <v>8.38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51.23</v>
      </c>
      <c r="AV24">
        <v>1</v>
      </c>
    </row>
    <row r="25" spans="1:48" ht="12.75">
      <c r="A25">
        <f>ROW(Source!A29)</f>
        <v>29</v>
      </c>
      <c r="B25">
        <v>7507265</v>
      </c>
      <c r="C25">
        <v>7507256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24</v>
      </c>
      <c r="K25" t="s">
        <v>231</v>
      </c>
      <c r="L25">
        <v>608254</v>
      </c>
      <c r="N25">
        <v>1013</v>
      </c>
      <c r="O25" t="s">
        <v>232</v>
      </c>
      <c r="P25" t="s">
        <v>232</v>
      </c>
      <c r="Q25">
        <v>1</v>
      </c>
      <c r="Y25">
        <v>11.13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11.13</v>
      </c>
      <c r="AV25">
        <v>2</v>
      </c>
    </row>
    <row r="26" spans="1:48" ht="12.75">
      <c r="A26">
        <f>ROW(Source!A29)</f>
        <v>29</v>
      </c>
      <c r="B26">
        <v>7507266</v>
      </c>
      <c r="C26">
        <v>7507256</v>
      </c>
      <c r="D26">
        <v>5493882</v>
      </c>
      <c r="E26">
        <v>1</v>
      </c>
      <c r="F26">
        <v>1</v>
      </c>
      <c r="G26">
        <v>1</v>
      </c>
      <c r="H26">
        <v>2</v>
      </c>
      <c r="I26" t="s">
        <v>260</v>
      </c>
      <c r="J26" t="s">
        <v>261</v>
      </c>
      <c r="K26" t="s">
        <v>262</v>
      </c>
      <c r="L26">
        <v>1368</v>
      </c>
      <c r="N26">
        <v>1011</v>
      </c>
      <c r="O26" t="s">
        <v>236</v>
      </c>
      <c r="P26" t="s">
        <v>236</v>
      </c>
      <c r="Q26">
        <v>1</v>
      </c>
      <c r="Y26">
        <v>10.39</v>
      </c>
      <c r="AA26">
        <v>0</v>
      </c>
      <c r="AB26">
        <v>112</v>
      </c>
      <c r="AC26">
        <v>13.5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10.39</v>
      </c>
      <c r="AV26">
        <v>0</v>
      </c>
    </row>
    <row r="27" spans="1:48" ht="12.75">
      <c r="A27">
        <f>ROW(Source!A29)</f>
        <v>29</v>
      </c>
      <c r="B27">
        <v>7507267</v>
      </c>
      <c r="C27">
        <v>7507256</v>
      </c>
      <c r="D27">
        <v>5494044</v>
      </c>
      <c r="E27">
        <v>1</v>
      </c>
      <c r="F27">
        <v>1</v>
      </c>
      <c r="G27">
        <v>1</v>
      </c>
      <c r="H27">
        <v>2</v>
      </c>
      <c r="I27" t="s">
        <v>240</v>
      </c>
      <c r="J27" t="s">
        <v>241</v>
      </c>
      <c r="K27" t="s">
        <v>242</v>
      </c>
      <c r="L27">
        <v>1368</v>
      </c>
      <c r="N27">
        <v>1011</v>
      </c>
      <c r="O27" t="s">
        <v>236</v>
      </c>
      <c r="P27" t="s">
        <v>236</v>
      </c>
      <c r="Q27">
        <v>1</v>
      </c>
      <c r="Y27">
        <v>0.08</v>
      </c>
      <c r="AA27">
        <v>0</v>
      </c>
      <c r="AB27">
        <v>90</v>
      </c>
      <c r="AC27">
        <v>10.06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0.08</v>
      </c>
      <c r="AV27">
        <v>0</v>
      </c>
    </row>
    <row r="28" spans="1:48" ht="12.75">
      <c r="A28">
        <f>ROW(Source!A29)</f>
        <v>29</v>
      </c>
      <c r="B28">
        <v>7507268</v>
      </c>
      <c r="C28">
        <v>7507256</v>
      </c>
      <c r="D28">
        <v>5495050</v>
      </c>
      <c r="E28">
        <v>1</v>
      </c>
      <c r="F28">
        <v>1</v>
      </c>
      <c r="G28">
        <v>1</v>
      </c>
      <c r="H28">
        <v>2</v>
      </c>
      <c r="I28" t="s">
        <v>243</v>
      </c>
      <c r="J28" t="s">
        <v>244</v>
      </c>
      <c r="K28" t="s">
        <v>245</v>
      </c>
      <c r="L28">
        <v>1368</v>
      </c>
      <c r="N28">
        <v>1011</v>
      </c>
      <c r="O28" t="s">
        <v>236</v>
      </c>
      <c r="P28" t="s">
        <v>236</v>
      </c>
      <c r="Q28">
        <v>1</v>
      </c>
      <c r="Y28">
        <v>0.66</v>
      </c>
      <c r="AA28">
        <v>0</v>
      </c>
      <c r="AB28">
        <v>123</v>
      </c>
      <c r="AC28">
        <v>13.5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0.66</v>
      </c>
      <c r="AV28">
        <v>0</v>
      </c>
    </row>
    <row r="29" spans="1:48" ht="12.75">
      <c r="A29">
        <f>ROW(Source!A29)</f>
        <v>29</v>
      </c>
      <c r="B29">
        <v>7507269</v>
      </c>
      <c r="C29">
        <v>7507256</v>
      </c>
      <c r="D29">
        <v>5469594</v>
      </c>
      <c r="E29">
        <v>1</v>
      </c>
      <c r="F29">
        <v>1</v>
      </c>
      <c r="G29">
        <v>1</v>
      </c>
      <c r="H29">
        <v>3</v>
      </c>
      <c r="I29" t="s">
        <v>268</v>
      </c>
      <c r="J29" t="s">
        <v>269</v>
      </c>
      <c r="K29" t="s">
        <v>270</v>
      </c>
      <c r="L29">
        <v>1339</v>
      </c>
      <c r="N29">
        <v>1007</v>
      </c>
      <c r="O29" t="s">
        <v>44</v>
      </c>
      <c r="P29" t="s">
        <v>44</v>
      </c>
      <c r="Q29">
        <v>1</v>
      </c>
      <c r="Y29">
        <v>1.18</v>
      </c>
      <c r="AA29">
        <v>55.26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1.18</v>
      </c>
      <c r="AV29">
        <v>0</v>
      </c>
    </row>
    <row r="30" spans="1:48" ht="12.75">
      <c r="A30">
        <f>ROW(Source!A29)</f>
        <v>29</v>
      </c>
      <c r="B30">
        <v>7507270</v>
      </c>
      <c r="C30">
        <v>7507256</v>
      </c>
      <c r="D30">
        <v>5473853</v>
      </c>
      <c r="E30">
        <v>1</v>
      </c>
      <c r="F30">
        <v>1</v>
      </c>
      <c r="G30">
        <v>1</v>
      </c>
      <c r="H30">
        <v>3</v>
      </c>
      <c r="I30" t="s">
        <v>42</v>
      </c>
      <c r="J30" t="s">
        <v>45</v>
      </c>
      <c r="K30" t="s">
        <v>43</v>
      </c>
      <c r="L30">
        <v>1339</v>
      </c>
      <c r="N30">
        <v>1007</v>
      </c>
      <c r="O30" t="s">
        <v>44</v>
      </c>
      <c r="P30" t="s">
        <v>44</v>
      </c>
      <c r="Q30">
        <v>1</v>
      </c>
      <c r="Y30">
        <v>-66</v>
      </c>
      <c r="AA30">
        <v>964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-66</v>
      </c>
      <c r="AV30">
        <v>0</v>
      </c>
    </row>
    <row r="31" spans="1:48" ht="12.75">
      <c r="A31">
        <f>ROW(Source!A31)</f>
        <v>31</v>
      </c>
      <c r="B31">
        <v>7507430</v>
      </c>
      <c r="C31">
        <v>7507429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24</v>
      </c>
      <c r="K31" t="s">
        <v>231</v>
      </c>
      <c r="L31">
        <v>608254</v>
      </c>
      <c r="N31">
        <v>1013</v>
      </c>
      <c r="O31" t="s">
        <v>232</v>
      </c>
      <c r="P31" t="s">
        <v>232</v>
      </c>
      <c r="Q31">
        <v>1</v>
      </c>
      <c r="Y31">
        <v>1.486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1.486</v>
      </c>
      <c r="AV31">
        <v>2</v>
      </c>
    </row>
    <row r="32" spans="1:48" ht="12.75">
      <c r="A32">
        <f>ROW(Source!A31)</f>
        <v>31</v>
      </c>
      <c r="B32">
        <v>7507431</v>
      </c>
      <c r="C32">
        <v>7507429</v>
      </c>
      <c r="D32">
        <v>1471986</v>
      </c>
      <c r="E32">
        <v>1</v>
      </c>
      <c r="F32">
        <v>1</v>
      </c>
      <c r="G32">
        <v>1</v>
      </c>
      <c r="H32">
        <v>2</v>
      </c>
      <c r="I32" t="s">
        <v>271</v>
      </c>
      <c r="J32" t="s">
        <v>272</v>
      </c>
      <c r="K32" t="s">
        <v>273</v>
      </c>
      <c r="L32">
        <v>1480</v>
      </c>
      <c r="N32">
        <v>1013</v>
      </c>
      <c r="O32" t="s">
        <v>274</v>
      </c>
      <c r="P32" t="s">
        <v>275</v>
      </c>
      <c r="Q32">
        <v>1</v>
      </c>
      <c r="Y32">
        <v>1.486</v>
      </c>
      <c r="AA32">
        <v>0</v>
      </c>
      <c r="AB32">
        <v>89.5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1.486</v>
      </c>
      <c r="AV32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Kompanichenko</cp:lastModifiedBy>
  <dcterms:created xsi:type="dcterms:W3CDTF">2008-12-25T11:41:26Z</dcterms:created>
  <dcterms:modified xsi:type="dcterms:W3CDTF">2008-12-25T11:41:26Z</dcterms:modified>
  <cp:category/>
  <cp:version/>
  <cp:contentType/>
  <cp:contentStatus/>
</cp:coreProperties>
</file>