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70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'Локальная смета 12 гр. Для Т'!$25:$25</definedName>
    <definedName name="_xlnm.Print_Area" localSheetId="0">'Локальная смета 12 гр. Для Т'!$A$1:$L$127</definedName>
  </definedNames>
  <calcPr fullCalcOnLoad="1"/>
</workbook>
</file>

<file path=xl/sharedStrings.xml><?xml version="1.0" encoding="utf-8"?>
<sst xmlns="http://schemas.openxmlformats.org/spreadsheetml/2006/main" count="1808" uniqueCount="422">
  <si>
    <t>Smeta.ru  (495) 974-1589</t>
  </si>
  <si>
    <t>_PS_</t>
  </si>
  <si>
    <t>Smeta.ru</t>
  </si>
  <si>
    <t/>
  </si>
  <si>
    <t>Новый объект</t>
  </si>
  <si>
    <t>Монтаж лифтовых шахт</t>
  </si>
  <si>
    <t>Мособлгосэкспертиза</t>
  </si>
  <si>
    <t>Сметные нормы списания</t>
  </si>
  <si>
    <t>Коды ценников</t>
  </si>
  <si>
    <t>ФЕР версия 2 с параметрами</t>
  </si>
  <si>
    <t>Тип. расчёт(с 0.94) для норм 2001 года  МДС 81.33-2004 и МДС 81.25-99</t>
  </si>
  <si>
    <t>Московская область</t>
  </si>
  <si>
    <t>Поправки для НБ 2001 нов МДС  для вер.2 с параметрами</t>
  </si>
  <si>
    <t>Новая локальная смета</t>
  </si>
  <si>
    <t>{1E025DB1-362B-4B60-92E2-0F6CA97A9F57}</t>
  </si>
  <si>
    <t>1</t>
  </si>
  <si>
    <t>07-05-035-4</t>
  </si>
  <si>
    <t>Установка шахт лифта массой более 2,5 т</t>
  </si>
  <si>
    <t>100 шт.</t>
  </si>
  <si>
    <t>ТЕР Московской обл.,сб.07,гл.05,табл.035,поз.4</t>
  </si>
  <si>
    <t>Общестроительные работы</t>
  </si>
  <si>
    <t>Бетонные и железобетонные сборные конструкции в жилищно-гражданском строительстве</t>
  </si>
  <si>
    <t>7-2</t>
  </si>
  <si>
    <t>01. Приготовление постели из песка (норма 1). 02. Сварка закладных изделий (нормы 3,4) и стыков (норма 8). 03. Промазка швов с последующей швабровкой отверстий.</t>
  </si>
  <si>
    <t>1,1</t>
  </si>
  <si>
    <t>Цена поставщика</t>
  </si>
  <si>
    <t>ШЛГ 50п30</t>
  </si>
  <si>
    <t>шт.</t>
  </si>
  <si>
    <t>ССЦ Московской обл.,сб.440,поз.9001</t>
  </si>
  <si>
    <t>2</t>
  </si>
  <si>
    <t>Разница между договорной и сметной ценой</t>
  </si>
  <si>
    <t>шт</t>
  </si>
  <si>
    <t>ШТ</t>
  </si>
  <si>
    <t>Прочие работы</t>
  </si>
  <si>
    <t>прочие</t>
  </si>
  <si>
    <t>6</t>
  </si>
  <si>
    <t>07-05-011-1</t>
  </si>
  <si>
    <t>Установка панелей перекрытий с опиранием по контуру площадью до 5 м2</t>
  </si>
  <si>
    <t>ТЕР Московской обл.,сб.07,гл.05,табл.011,поз.1</t>
  </si>
  <si>
    <t>100 шт. сборных конструкций</t>
  </si>
  <si>
    <t>01. Сварка закладных изделий (нормы 1-12). 02. Заполнение швов раствором (нормы 1-6,10-12). 03. Прокладка швов тканью (нормы 10-12).</t>
  </si>
  <si>
    <t>6,1</t>
  </si>
  <si>
    <t>ПВГ 50п</t>
  </si>
  <si>
    <t>7</t>
  </si>
  <si>
    <t>8</t>
  </si>
  <si>
    <t>26-01-011-1</t>
  </si>
  <si>
    <t>1 м3</t>
  </si>
  <si>
    <t>ТЕР Московской обл.,сб.26,гл.01,табл.011,поз.1</t>
  </si>
  <si>
    <t>1 м3 изоляции</t>
  </si>
  <si>
    <t>Теплоизоляционные работы</t>
  </si>
  <si>
    <t>20</t>
  </si>
  <si>
    <t>01. Установка изделий на штырях или проволочных стяжках.  02. Изготовление бандажных лент.  03. Перемотка и отжиг проволоки.  04. Устройство проволочного каркаса.  05. Крепление изделий бандажами.</t>
  </si>
  <si>
    <t>8,1</t>
  </si>
  <si>
    <t>104-0012</t>
  </si>
  <si>
    <t>Маты минераловатные прошивные без обкладок М-125, толщина 60 мм</t>
  </si>
  <si>
    <t>м3</t>
  </si>
  <si>
    <t>ССЦ Московской обл.,сб.104,поз.0012</t>
  </si>
  <si>
    <t>8,2</t>
  </si>
  <si>
    <t>Плита минераловатная Акустик-Баттс</t>
  </si>
  <si>
    <t>9</t>
  </si>
  <si>
    <t>08-01-002-1</t>
  </si>
  <si>
    <t>Устройство основания под фундаменты песчаного</t>
  </si>
  <si>
    <t>ТЕР Московской обл.,сб.08,гл.01,табл.002,поз.1</t>
  </si>
  <si>
    <t>1 м3 основания</t>
  </si>
  <si>
    <t>Конструкции из кирпича и блоков в жилищно-гражданских зданиях</t>
  </si>
  <si>
    <t>01. Разравнивание и трамбование основания.</t>
  </si>
  <si>
    <t>10</t>
  </si>
  <si>
    <t>06-01-001-1A</t>
  </si>
  <si>
    <t>Устройство бетонной подготовки</t>
  </si>
  <si>
    <t>100 м3</t>
  </si>
  <si>
    <t>ТЕР Московской обл.,сб.06,гл.01,табл.001,поз.1A</t>
  </si>
  <si>
    <t>100 м3 бетона, бутобетона и железобетона в деле</t>
  </si>
  <si>
    <t>Бетонные и железобетонные монолитные конструкции в промышленном строительстве</t>
  </si>
  <si>
    <t>6-1</t>
  </si>
  <si>
    <t>01. Раскрой и установка досок. 02. Установка щитов опалубки. 03. Крепление элементов опалубки проволокой и гвоздями строительными. 04. Установка арматуры. 05. Укладка бетонной смеси.</t>
  </si>
  <si>
    <t>10,1</t>
  </si>
  <si>
    <t>401-0023</t>
  </si>
  <si>
    <t>Бетон тяжелый, крупность заполнителя более 40 мм, класс В 7,5 (М100)</t>
  </si>
  <si>
    <t>ССЦ Московской обл.,сб.401,поз.0023</t>
  </si>
  <si>
    <t>10,2</t>
  </si>
  <si>
    <t>Бетон М 350</t>
  </si>
  <si>
    <t>11</t>
  </si>
  <si>
    <t>06-01-015-10</t>
  </si>
  <si>
    <t>Армирование подстилающих слоев и набетонок</t>
  </si>
  <si>
    <t>т</t>
  </si>
  <si>
    <t>ТЕР Московской обл.,сб.06,гл.01,табл.015,поз.10</t>
  </si>
  <si>
    <t>11,1</t>
  </si>
  <si>
    <t>204-0100</t>
  </si>
  <si>
    <t>Горячекатаная арматурная сталь класса А-I, А-II, А-III</t>
  </si>
  <si>
    <t>ССЦ Московской обл.,сб.204,поз.0100</t>
  </si>
  <si>
    <t>11,2</t>
  </si>
  <si>
    <t>Сетка ВР -1 d5 200х200</t>
  </si>
  <si>
    <t>м2</t>
  </si>
  <si>
    <t>11,3</t>
  </si>
  <si>
    <t>Арматура А d12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</si>
  <si>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</si>
  <si>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</si>
  <si>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</si>
  <si>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</si>
  <si>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</si>
  <si>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</si>
  <si>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</si>
  <si>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</si>
  <si>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</si>
  <si>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</si>
  <si>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</si>
  <si>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</si>
  <si>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</si>
  <si>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</si>
  <si>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</si>
  <si>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</si>
  <si>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</si>
  <si>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</si>
  <si>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</si>
  <si>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</si>
  <si>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</si>
  <si>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</si>
  <si>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</si>
  <si>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ПРЯМЫЕ ЗАТРАТЫ</t>
  </si>
  <si>
    <t>ИТОГ2</t>
  </si>
  <si>
    <t>НАКЛАДНЫЕ  РАСХОДЫ</t>
  </si>
  <si>
    <t>ИТОГ3</t>
  </si>
  <si>
    <t>СМЕТНАЯ ПРИБЫЛЬ</t>
  </si>
  <si>
    <t>ИТОГ4</t>
  </si>
  <si>
    <t>ИТОГО</t>
  </si>
  <si>
    <t>труд</t>
  </si>
  <si>
    <t>Трудоемкость</t>
  </si>
  <si>
    <t>фот</t>
  </si>
  <si>
    <t>Фонд оплаты труда</t>
  </si>
  <si>
    <t>ЗУ</t>
  </si>
  <si>
    <t>ЗИМНЕЕ УДОРОЖАНИЕ %</t>
  </si>
  <si>
    <t>проставьте % ЗУ</t>
  </si>
  <si>
    <t>ИТОГ5</t>
  </si>
  <si>
    <t>С ЗИМНИМ УДОРОЖАНИЕМ</t>
  </si>
  <si>
    <t>ИТОГ6</t>
  </si>
  <si>
    <t>ВРЕМЕННЫЕ СООРУЖЕНИЯ %</t>
  </si>
  <si>
    <t>проставьте % временных сооружений</t>
  </si>
  <si>
    <t>ИТОГ7</t>
  </si>
  <si>
    <t>ИТОГО С ВРЕМЕННЫМИ</t>
  </si>
  <si>
    <t>ИТОГ8</t>
  </si>
  <si>
    <t>НДС 18%</t>
  </si>
  <si>
    <t>ВСЕГО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</si>
  <si>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</si>
  <si>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</si>
  <si>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</si>
  <si>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</si>
  <si>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</si>
  <si>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</si>
  <si>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</si>
  <si>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</si>
  <si>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</si>
  <si>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</si>
  <si>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</si>
  <si>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</si>
  <si>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</si>
  <si>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</si>
  <si>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</si>
  <si>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</si>
  <si>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</si>
  <si>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</si>
  <si>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</si>
  <si>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</si>
  <si>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</si>
  <si>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</si>
  <si>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</si>
  <si>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</si>
  <si>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</si>
  <si>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</si>
  <si>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</si>
  <si>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</si>
  <si>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</si>
  <si>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</si>
  <si>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</si>
  <si>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</si>
  <si>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</si>
  <si>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</si>
  <si>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</si>
  <si>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</si>
  <si>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</si>
  <si>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</si>
  <si>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</si>
  <si>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</si>
  <si>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</si>
  <si>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</si>
  <si>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</si>
  <si>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</si>
  <si>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</si>
  <si>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</si>
  <si>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</si>
  <si>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</si>
  <si>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</si>
  <si>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</si>
  <si>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</si>
  <si>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</si>
  <si>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</si>
  <si>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</si>
  <si>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</si>
  <si>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</si>
  <si>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</si>
  <si>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</si>
  <si>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</si>
  <si>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</si>
  <si>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</si>
  <si>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</si>
  <si>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</si>
  <si>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</si>
  <si>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</si>
  <si>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</si>
  <si>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</si>
  <si>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</si>
  <si>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</si>
  <si>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</si>
  <si>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</si>
  <si>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</si>
  <si>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</si>
  <si>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</si>
  <si>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</si>
  <si>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</si>
  <si>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</si>
  <si>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</si>
  <si>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</si>
  <si>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</si>
  <si>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</si>
  <si>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</si>
  <si>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</si>
  <si>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</si>
  <si>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</si>
  <si>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</si>
  <si>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</si>
  <si>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</si>
  <si>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</si>
  <si>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</si>
  <si>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</si>
  <si>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</si>
  <si>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</si>
  <si>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</si>
  <si>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</si>
  <si>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</si>
  <si>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</si>
  <si>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</si>
  <si>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</si>
  <si>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</si>
  <si>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</si>
  <si>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</si>
  <si>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</si>
  <si>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</si>
  <si>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</si>
  <si>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</si>
  <si>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</si>
  <si>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</si>
  <si>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</si>
  <si>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</si>
  <si>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</si>
  <si>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</si>
  <si>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</si>
  <si>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</si>
  <si>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</si>
  <si>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</si>
  <si>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</si>
  <si>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</si>
  <si>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</si>
  <si>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</si>
  <si>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</si>
  <si>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</si>
  <si>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</si>
  <si>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</si>
  <si>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</si>
  <si>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</si>
  <si>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</si>
  <si>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</si>
  <si>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1-4.3-50</t>
  </si>
  <si>
    <t>Затраты труда рабочих, разряд работ 4.3</t>
  </si>
  <si>
    <t>чел.-ч</t>
  </si>
  <si>
    <t>Затраты труда машинистов</t>
  </si>
  <si>
    <t>чел.час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</si>
  <si>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</si>
  <si>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</si>
  <si>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</si>
  <si>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маш.-ч</t>
  </si>
  <si>
    <t>040502</t>
  </si>
  <si>
    <t>344142</t>
  </si>
  <si>
    <t>Установки для сварки ручной дуговой (постоянного тока)</t>
  </si>
  <si>
    <t>400001</t>
  </si>
  <si>
    <t>451114</t>
  </si>
  <si>
    <t>Автомобили бортовые грузоподъемностью до 5 т</t>
  </si>
  <si>
    <t>101-1529</t>
  </si>
  <si>
    <t>ССЦ Московской обл.,сб.101,поз.1529</t>
  </si>
  <si>
    <t>Электроды диаметром 6 мм Э42</t>
  </si>
  <si>
    <t>402-0004</t>
  </si>
  <si>
    <t>ССЦ Московской обл.,сб.402,поз.0004</t>
  </si>
  <si>
    <t>Раствор готовый кладочный цементный, марка 100</t>
  </si>
  <si>
    <t>1-3.6-50</t>
  </si>
  <si>
    <t>Затраты труда рабочих, разряд работ 3.6</t>
  </si>
  <si>
    <t>113-0079</t>
  </si>
  <si>
    <t>ССЦ Московской обл.,сб.113,поз.0079</t>
  </si>
  <si>
    <t>Лак БТ-577</t>
  </si>
  <si>
    <t>201-0777</t>
  </si>
  <si>
    <t>ССЦ Московской обл.,сб.201,поз.0777</t>
  </si>
  <si>
    <t>Конструктивные элементы вспомогательного назначения, с преобладанием профильного проката собираемые из двух и более деталей, с отверстиями и без отверстий, соединяемые на сварке</t>
  </si>
  <si>
    <t>1-3.7-50</t>
  </si>
  <si>
    <t>Затраты труда рабочих, разряд работ 3.7</t>
  </si>
  <si>
    <t>332101</t>
  </si>
  <si>
    <t>483380</t>
  </si>
  <si>
    <t>Установки для изготовления бандажей, диафрагм, пряжек</t>
  </si>
  <si>
    <t>332102</t>
  </si>
  <si>
    <t>Установки отжига проволоки с устройством перемотки</t>
  </si>
  <si>
    <t>101-0540</t>
  </si>
  <si>
    <t>ССЦ Московской обл.,сб.101,поз.0540</t>
  </si>
  <si>
    <t>Лента стальная упаковочная, мягкая, нормальной точности 0,7х20-50 мм</t>
  </si>
  <si>
    <t>101-0811</t>
  </si>
  <si>
    <t>ССЦ Московской обл.,сб.101,поз.0811</t>
  </si>
  <si>
    <t>Проволока стальная низкоуглеродистая разного назначения оцинкованная диаметром 1.1 мм</t>
  </si>
  <si>
    <t>101-0814</t>
  </si>
  <si>
    <t>ССЦ Московской обл.,сб.101,поз.0814</t>
  </si>
  <si>
    <t>Проволока стальная низкоуглеродистая разного назначения оцинкованная диаметром 6.0-6.3 мм</t>
  </si>
  <si>
    <t>101-1876</t>
  </si>
  <si>
    <t>ССЦ Московской обл.,сб.101,поз.1876</t>
  </si>
  <si>
    <t>Сталь оцинкованная листовая толщина листа 0.8 мм</t>
  </si>
  <si>
    <t>101-1986</t>
  </si>
  <si>
    <t>ССЦ Московской обл.,сб.101,поз.1986</t>
  </si>
  <si>
    <t>Проволока стальная низкоуглеродистая общего назначения,  диаметром 0,8 мм</t>
  </si>
  <si>
    <t>кг</t>
  </si>
  <si>
    <t>101-1987</t>
  </si>
  <si>
    <t>ССЦ Московской обл.,сб.101,поз.1987</t>
  </si>
  <si>
    <t>Проволока стальная низкоуглеродистая общего назначения,  диаметром    2 мм</t>
  </si>
  <si>
    <t>1-2.0-50</t>
  </si>
  <si>
    <t>Затраты труда рабочих, разряд работ 2.0</t>
  </si>
  <si>
    <t>050101</t>
  </si>
  <si>
    <t>364321</t>
  </si>
  <si>
    <t>Компрессоры передвижные с двигателем внутреннего сгорания давлением до 686 кПа (7 атм) 2,2 м3/мин</t>
  </si>
  <si>
    <t>331101</t>
  </si>
  <si>
    <t>483332</t>
  </si>
  <si>
    <t>Трамбовки пневматические</t>
  </si>
  <si>
    <t>408-0141</t>
  </si>
  <si>
    <t>ССЦ Московской обл.,сб.408,поз.0141</t>
  </si>
  <si>
    <t>Песок для строительных работ природный для строительных растворов средний</t>
  </si>
  <si>
    <t>411-0001</t>
  </si>
  <si>
    <t>ССЦ Московской обл.,сб.411,поз.0001</t>
  </si>
  <si>
    <t>Вода</t>
  </si>
  <si>
    <t>111100</t>
  </si>
  <si>
    <t>483382</t>
  </si>
  <si>
    <t>Вибраторы глубинные</t>
  </si>
  <si>
    <t>101-1668</t>
  </si>
  <si>
    <t>ССЦ Московской обл.,сб.101,поз.1668</t>
  </si>
  <si>
    <t>Рогожа</t>
  </si>
  <si>
    <t>1-3.3-50</t>
  </si>
  <si>
    <t>Затраты труда рабочих, разряд работ 3.3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</si>
  <si>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</si>
  <si>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</si>
  <si>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</si>
  <si>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101-0816</t>
  </si>
  <si>
    <t>ССЦ Московской обл.,сб.101,поз.0816</t>
  </si>
  <si>
    <t>Проволока светлая диаметром 1.1 мм</t>
  </si>
  <si>
    <t>440-9001</t>
  </si>
  <si>
    <t>Конструкции сборные железобетонные</t>
  </si>
  <si>
    <t>01. Установка кондукторов (шаблонов) с выверкой, закреплением и разборкой (нормы 1-5). 02. Установка анкерных болтов с выверкой и закреплением (нормы 1-5). 03. Установка фиксирующих элементов, остающихся в теле бетона с закреплением (при необходимости) (нормы 3-5). 04. Сборка анкерных болтов в каркасы с установкой связей и сваркой: установка, выверка и закрепление собранного каркаса (норма 5). 05. Установка поддерживающих конструкций кондукторных устройств, остающихся в теле бетона, с закреплением (норма 6). 06. Заливка ан-керных болтов, устанавливаемых в гнезда, раствором или бетоном (нормы 1,2). 07. Вырезка и заделка отверстий в опалубке (при необходимости), установка и закрепление закладных деталей (нормы 7-9).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</si>
  <si>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</si>
  <si>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</si>
  <si>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</si>
  <si>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</si>
  <si>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</si>
  <si>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</si>
  <si>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</si>
  <si>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</si>
  <si>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</si>
  <si>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</si>
  <si>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</si>
  <si>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</si>
  <si>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</si>
  <si>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</si>
  <si>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</si>
  <si>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</si>
  <si>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</si>
  <si>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</si>
  <si>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</si>
  <si>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</si>
  <si>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</si>
  <si>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</si>
  <si>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</si>
  <si>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</si>
  <si>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</si>
  <si>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</si>
  <si>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</si>
  <si>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</si>
  <si>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</si>
  <si>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</si>
  <si>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</si>
  <si>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</si>
  <si>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</si>
  <si>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</si>
  <si>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</si>
  <si>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</si>
  <si>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</si>
  <si>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</si>
  <si>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</si>
  <si>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</si>
  <si>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</si>
  <si>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</si>
  <si>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</si>
  <si>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</si>
  <si>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</si>
  <si>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</si>
  <si>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</si>
  <si>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>Зарплата</t>
  </si>
  <si>
    <t>в т.ч. зарплата машинистов</t>
  </si>
  <si>
    <t>Материальные ресурсы</t>
  </si>
  <si>
    <t>Накладные расходы от ФОТ</t>
  </si>
  <si>
    <t>%</t>
  </si>
  <si>
    <t>Затраты труда</t>
  </si>
  <si>
    <t>чел-ч</t>
  </si>
  <si>
    <t>Итого</t>
  </si>
  <si>
    <t>Итого по смете</t>
  </si>
  <si>
    <t>Итого по локальной смете</t>
  </si>
  <si>
    <t>Итого по объекту</t>
  </si>
  <si>
    <t>ИСПОЛНИЛ</t>
  </si>
  <si>
    <t>[должность,подпись(инициалы,фамилия)]</t>
  </si>
  <si>
    <t>ПРОВЕРИЛ</t>
  </si>
  <si>
    <t xml:space="preserve"> Монтаж лифтовых шахт</t>
  </si>
  <si>
    <t xml:space="preserve">Изоляция плоских и криволинейных поверхностей матами минераловатными </t>
  </si>
  <si>
    <t>Плита минераловатная</t>
  </si>
  <si>
    <t>ЛОКАЛЬНАЯ СМЕТА</t>
  </si>
  <si>
    <t>http://smety.moy.su/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</si>
</sst>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 shrinkToFit="1"/>
    </xf>
    <xf numFmtId="0" fontId="13" fillId="0" borderId="0" xfId="0" applyFont="1" applyAlignment="1">
      <alignment horizontal="right" wrapText="1" shrinkToFi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wrapText="1" shrinkToFi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justify" vertical="top" wrapText="1" shrinkToFit="1"/>
    </xf>
    <xf numFmtId="0" fontId="13" fillId="0" borderId="5" xfId="0" applyFont="1" applyBorder="1" applyAlignment="1">
      <alignment horizontal="right" wrapText="1" shrinkToFit="1"/>
    </xf>
    <xf numFmtId="0" fontId="9" fillId="0" borderId="5" xfId="0" applyFont="1" applyBorder="1" applyAlignment="1">
      <alignment shrinkToFit="1"/>
    </xf>
    <xf numFmtId="0" fontId="9" fillId="0" borderId="5" xfId="0" applyFont="1" applyBorder="1" applyAlignment="1">
      <alignment wrapText="1" shrinkToFit="1"/>
    </xf>
    <xf numFmtId="2" fontId="9" fillId="0" borderId="5" xfId="0" applyNumberFormat="1" applyFont="1" applyBorder="1" applyAlignment="1">
      <alignment shrinkToFi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wrapText="1"/>
    </xf>
    <xf numFmtId="2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14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/>
    </xf>
    <xf numFmtId="0" fontId="11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15" applyAlignment="1">
      <alignment/>
    </xf>
    <xf numFmtId="0" fontId="0" fillId="0" borderId="7" xfId="0" applyBorder="1" applyAlignment="1">
      <alignment horizontal="right"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ety.moy.s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zoomScale="106" zoomScaleNormal="106" workbookViewId="0" topLeftCell="A1">
      <selection activeCell="C25" sqref="C25"/>
    </sheetView>
  </sheetViews>
  <sheetFormatPr defaultColWidth="9.140625" defaultRowHeight="12.75"/>
  <cols>
    <col min="1" max="1" width="5.28125" style="0" customWidth="1"/>
    <col min="2" max="2" width="14.00390625" style="0" customWidth="1"/>
    <col min="3" max="3" width="52.7109375" style="0" customWidth="1"/>
    <col min="7" max="7" width="11.28125" style="0" customWidth="1"/>
    <col min="8" max="8" width="13.57421875" style="0" bestFit="1" customWidth="1"/>
    <col min="10" max="10" width="10.140625" style="0" customWidth="1"/>
    <col min="11" max="11" width="13.57421875" style="0" bestFit="1" customWidth="1"/>
    <col min="13" max="23" width="0" style="0" hidden="1" customWidth="1"/>
  </cols>
  <sheetData>
    <row r="1" spans="1:4" ht="12.75">
      <c r="A1" s="62" t="s">
        <v>421</v>
      </c>
      <c r="B1" s="63"/>
      <c r="C1" s="64"/>
      <c r="D1" s="64"/>
    </row>
    <row r="2" spans="2:12" ht="1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 customHeight="1">
      <c r="A3" s="60" t="s">
        <v>420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customHeight="1">
      <c r="A5" s="4" t="s">
        <v>356</v>
      </c>
      <c r="B5" s="55" t="s">
        <v>417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12.75" customHeight="1">
      <c r="B6" s="56" t="s">
        <v>357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ht="12.75" hidden="1"/>
    <row r="8" spans="1:12" ht="15" hidden="1">
      <c r="A8" s="58" t="str">
        <f>CONCATENATE("Основание: ",Source!J12)</f>
        <v>Основание: 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ht="12.75" hidden="1"/>
    <row r="10" spans="5:10" ht="12.75">
      <c r="E10" s="4"/>
      <c r="F10" s="4"/>
      <c r="G10" s="4"/>
      <c r="H10" s="4"/>
      <c r="I10" s="4"/>
      <c r="J10" s="4"/>
    </row>
    <row r="11" spans="5:10" ht="12.75">
      <c r="E11" s="9"/>
      <c r="F11" s="9"/>
      <c r="G11" s="59" t="s">
        <v>358</v>
      </c>
      <c r="H11" s="59"/>
      <c r="I11" s="59" t="s">
        <v>359</v>
      </c>
      <c r="J11" s="59"/>
    </row>
    <row r="12" spans="3:12" ht="15.75">
      <c r="C12" s="51" t="s">
        <v>360</v>
      </c>
      <c r="D12" s="51"/>
      <c r="E12" s="51"/>
      <c r="F12" s="51"/>
      <c r="G12" s="52">
        <f>G98/1000</f>
        <v>3622.010598597249</v>
      </c>
      <c r="H12" s="52"/>
      <c r="I12" s="52">
        <f>(Source!F66/1000)</f>
        <v>5111.054160000001</v>
      </c>
      <c r="J12" s="52"/>
      <c r="K12" s="53" t="s">
        <v>361</v>
      </c>
      <c r="L12" s="53"/>
    </row>
    <row r="13" spans="3:12" ht="15">
      <c r="C13" s="54" t="s">
        <v>362</v>
      </c>
      <c r="D13" s="54"/>
      <c r="E13" s="54"/>
      <c r="F13" s="54"/>
      <c r="G13" s="52">
        <f>O98/1000</f>
        <v>2927.510918597248</v>
      </c>
      <c r="H13" s="52"/>
      <c r="I13" s="52">
        <f>S98/1000</f>
        <v>3585.54163</v>
      </c>
      <c r="J13" s="52"/>
      <c r="K13" s="53" t="s">
        <v>361</v>
      </c>
      <c r="L13" s="53"/>
    </row>
    <row r="14" spans="3:12" ht="15">
      <c r="C14" s="54" t="s">
        <v>363</v>
      </c>
      <c r="D14" s="54"/>
      <c r="E14" s="54"/>
      <c r="F14" s="54"/>
      <c r="G14" s="52">
        <f>P98/1000</f>
        <v>0</v>
      </c>
      <c r="H14" s="52"/>
      <c r="I14" s="52">
        <f>T98/1000</f>
        <v>0</v>
      </c>
      <c r="J14" s="52"/>
      <c r="K14" s="53" t="s">
        <v>361</v>
      </c>
      <c r="L14" s="53"/>
    </row>
    <row r="15" spans="3:12" ht="15">
      <c r="C15" s="54" t="s">
        <v>364</v>
      </c>
      <c r="D15" s="54"/>
      <c r="E15" s="54"/>
      <c r="F15" s="54"/>
      <c r="G15" s="52">
        <f>Q98/1000</f>
        <v>0</v>
      </c>
      <c r="H15" s="52"/>
      <c r="I15" s="52">
        <f>U98/1000</f>
        <v>0</v>
      </c>
      <c r="J15" s="52"/>
      <c r="K15" s="53" t="s">
        <v>361</v>
      </c>
      <c r="L15" s="53"/>
    </row>
    <row r="16" spans="3:12" ht="15">
      <c r="C16" s="54" t="s">
        <v>365</v>
      </c>
      <c r="D16" s="54"/>
      <c r="E16" s="54"/>
      <c r="F16" s="54"/>
      <c r="G16" s="52">
        <f>R98/1000</f>
        <v>694.4996799999999</v>
      </c>
      <c r="H16" s="52"/>
      <c r="I16" s="52">
        <f>V98/1000</f>
        <v>694.4996799999999</v>
      </c>
      <c r="J16" s="52"/>
      <c r="K16" s="53" t="s">
        <v>361</v>
      </c>
      <c r="L16" s="53"/>
    </row>
    <row r="17" spans="3:12" ht="15.75">
      <c r="C17" s="51" t="s">
        <v>366</v>
      </c>
      <c r="D17" s="51"/>
      <c r="E17" s="51"/>
      <c r="F17" s="51"/>
      <c r="G17" s="52">
        <f>(Source!U22)</f>
        <v>1898.37</v>
      </c>
      <c r="H17" s="52"/>
      <c r="I17" s="52">
        <f>(Source!U22)</f>
        <v>1898.37</v>
      </c>
      <c r="J17" s="52"/>
      <c r="K17" s="53" t="s">
        <v>272</v>
      </c>
      <c r="L17" s="53"/>
    </row>
    <row r="18" spans="3:12" ht="15.75">
      <c r="C18" s="51" t="s">
        <v>367</v>
      </c>
      <c r="D18" s="51"/>
      <c r="E18" s="51"/>
      <c r="F18" s="51"/>
      <c r="G18" s="52">
        <f>(N98+W98)/1000</f>
        <v>18.506224857685012</v>
      </c>
      <c r="H18" s="52"/>
      <c r="I18" s="52">
        <f>(Source!S22/1000)</f>
        <v>186.12815</v>
      </c>
      <c r="J18" s="52"/>
      <c r="K18" s="53" t="s">
        <v>361</v>
      </c>
      <c r="L18" s="53"/>
    </row>
    <row r="20" spans="1:12" ht="15">
      <c r="A20" s="13"/>
      <c r="B20" s="13"/>
      <c r="C20" s="13"/>
      <c r="D20" s="13"/>
      <c r="E20" s="13"/>
      <c r="F20" s="14" t="s">
        <v>380</v>
      </c>
      <c r="G20" s="14" t="s">
        <v>384</v>
      </c>
      <c r="H20" s="14" t="s">
        <v>388</v>
      </c>
      <c r="I20" s="14" t="s">
        <v>392</v>
      </c>
      <c r="J20" s="14" t="s">
        <v>396</v>
      </c>
      <c r="K20" s="14" t="s">
        <v>388</v>
      </c>
      <c r="L20" s="14" t="s">
        <v>400</v>
      </c>
    </row>
    <row r="21" spans="1:12" ht="15">
      <c r="A21" s="15" t="s">
        <v>368</v>
      </c>
      <c r="B21" s="15" t="s">
        <v>370</v>
      </c>
      <c r="C21" s="16"/>
      <c r="D21" s="15" t="s">
        <v>375</v>
      </c>
      <c r="E21" s="15" t="s">
        <v>378</v>
      </c>
      <c r="F21" s="15" t="s">
        <v>381</v>
      </c>
      <c r="G21" s="15" t="s">
        <v>385</v>
      </c>
      <c r="H21" s="15" t="s">
        <v>389</v>
      </c>
      <c r="I21" s="15" t="s">
        <v>393</v>
      </c>
      <c r="J21" s="15" t="s">
        <v>387</v>
      </c>
      <c r="K21" s="15" t="s">
        <v>397</v>
      </c>
      <c r="L21" s="15" t="s">
        <v>401</v>
      </c>
    </row>
    <row r="22" spans="1:12" ht="15">
      <c r="A22" s="15" t="s">
        <v>369</v>
      </c>
      <c r="B22" s="15" t="s">
        <v>371</v>
      </c>
      <c r="C22" s="15" t="s">
        <v>374</v>
      </c>
      <c r="D22" s="15" t="s">
        <v>376</v>
      </c>
      <c r="E22" s="15" t="s">
        <v>379</v>
      </c>
      <c r="F22" s="15" t="s">
        <v>382</v>
      </c>
      <c r="G22" s="15" t="s">
        <v>386</v>
      </c>
      <c r="H22" s="15" t="s">
        <v>390</v>
      </c>
      <c r="I22" s="15" t="s">
        <v>394</v>
      </c>
      <c r="J22" s="15" t="s">
        <v>394</v>
      </c>
      <c r="K22" s="15" t="s">
        <v>398</v>
      </c>
      <c r="L22" s="15" t="s">
        <v>402</v>
      </c>
    </row>
    <row r="23" spans="1:12" ht="15">
      <c r="A23" s="16"/>
      <c r="B23" s="15" t="s">
        <v>372</v>
      </c>
      <c r="C23" s="16"/>
      <c r="D23" s="15" t="s">
        <v>377</v>
      </c>
      <c r="E23" s="16"/>
      <c r="F23" s="15" t="s">
        <v>383</v>
      </c>
      <c r="G23" s="15" t="s">
        <v>387</v>
      </c>
      <c r="H23" s="15" t="s">
        <v>391</v>
      </c>
      <c r="I23" s="15" t="s">
        <v>395</v>
      </c>
      <c r="J23" s="15" t="s">
        <v>395</v>
      </c>
      <c r="K23" s="15" t="s">
        <v>399</v>
      </c>
      <c r="L23" s="15"/>
    </row>
    <row r="24" spans="1:12" ht="15">
      <c r="A24" s="17"/>
      <c r="B24" s="18" t="s">
        <v>373</v>
      </c>
      <c r="C24" s="17"/>
      <c r="D24" s="17"/>
      <c r="E24" s="17"/>
      <c r="F24" s="17"/>
      <c r="G24" s="18"/>
      <c r="H24" s="18"/>
      <c r="I24" s="18"/>
      <c r="J24" s="18"/>
      <c r="K24" s="18"/>
      <c r="L24" s="18"/>
    </row>
    <row r="25" spans="1:12" ht="15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</row>
    <row r="26" spans="1:12" ht="30">
      <c r="A26" s="20" t="str">
        <f>Source!E24</f>
        <v>1</v>
      </c>
      <c r="B26" s="20" t="str">
        <f>Source!F24</f>
        <v>07-05-035-4</v>
      </c>
      <c r="C26" s="21" t="str">
        <f>CONCATENATE(Source!G24,"  ",Source!CN24)</f>
        <v>Установка шахт лифта массой более 2,5 т  </v>
      </c>
      <c r="D26" s="22" t="str">
        <f>Source!H24</f>
        <v>100 шт.</v>
      </c>
      <c r="E26" s="10">
        <f>ROUND(Source!I24,6)</f>
        <v>0.6</v>
      </c>
      <c r="F26" s="10">
        <f>IF(Source!AK24&lt;&gt;0,Source!AK24,Source!AL24+Source!AM24+Source!AO24)</f>
        <v>11749.61</v>
      </c>
      <c r="G26" s="10"/>
      <c r="H26" s="10"/>
      <c r="I26" s="10"/>
      <c r="J26" s="10"/>
      <c r="K26" s="10"/>
      <c r="L26" s="10"/>
    </row>
    <row r="27" spans="1:12" ht="15">
      <c r="A27" s="8"/>
      <c r="B27" s="8"/>
      <c r="C27" s="8" t="s">
        <v>403</v>
      </c>
      <c r="D27" s="8"/>
      <c r="E27" s="8"/>
      <c r="F27" s="8">
        <f>Source!AO24</f>
        <v>3211.52</v>
      </c>
      <c r="G27" s="23">
        <f>Source!DG24</f>
      </c>
      <c r="H27" s="24">
        <f>IF(Source!BA24&lt;&gt;0,Source!S24/Source!BA24,Source!S24)</f>
        <v>1926.9117647058827</v>
      </c>
      <c r="I27" s="8" t="str">
        <f>IF(Source!BO24&lt;&gt;"",Source!BO24,"")</f>
        <v>07-05-035-4</v>
      </c>
      <c r="J27" s="8">
        <f>Source!BA24</f>
        <v>10.54</v>
      </c>
      <c r="K27" s="24">
        <f>Source!S24</f>
        <v>20309.65</v>
      </c>
      <c r="L27" s="8"/>
    </row>
    <row r="28" spans="1:12" ht="15">
      <c r="A28" s="8"/>
      <c r="B28" s="8"/>
      <c r="C28" s="8" t="s">
        <v>100</v>
      </c>
      <c r="D28" s="8"/>
      <c r="E28" s="8"/>
      <c r="F28" s="8">
        <f>Source!AM24</f>
        <v>6872.03</v>
      </c>
      <c r="G28" s="23">
        <f>Source!DE24</f>
      </c>
      <c r="H28" s="24">
        <f>IF(Source!BB24&lt;&gt;0,Source!Q24/Source!BB24,Source!Q24)</f>
        <v>4123.217550274223</v>
      </c>
      <c r="I28" s="8"/>
      <c r="J28" s="8">
        <f>Source!BB24</f>
        <v>5.47</v>
      </c>
      <c r="K28" s="24">
        <f>Source!Q24</f>
        <v>22554</v>
      </c>
      <c r="L28" s="8"/>
    </row>
    <row r="29" spans="1:12" ht="15">
      <c r="A29" s="8"/>
      <c r="B29" s="8"/>
      <c r="C29" s="8" t="s">
        <v>404</v>
      </c>
      <c r="D29" s="8"/>
      <c r="E29" s="8"/>
      <c r="F29" s="8">
        <f>Source!AN24</f>
        <v>1036.8</v>
      </c>
      <c r="G29" s="23">
        <f>Source!DF24</f>
      </c>
      <c r="H29" s="26">
        <f>IF(Source!BS24&lt;&gt;0,Source!R24/Source!BS24,Source!R24)</f>
        <v>622.079696394687</v>
      </c>
      <c r="I29" s="8"/>
      <c r="J29" s="8">
        <f>Source!BS24</f>
        <v>10.54</v>
      </c>
      <c r="K29" s="12">
        <f>Source!R24</f>
        <v>6556.72</v>
      </c>
      <c r="L29" s="8"/>
    </row>
    <row r="30" spans="1:12" ht="15">
      <c r="A30" s="8"/>
      <c r="B30" s="8"/>
      <c r="C30" s="8" t="s">
        <v>405</v>
      </c>
      <c r="D30" s="8"/>
      <c r="E30" s="8"/>
      <c r="F30" s="8">
        <f>Source!AL24</f>
        <v>1666.06</v>
      </c>
      <c r="G30" s="23">
        <f>Source!DD24</f>
      </c>
      <c r="H30" s="24">
        <f>IF(Source!BC24&lt;&gt;0,Source!P24/Source!BC24,Source!P24)</f>
        <v>999.6351084812623</v>
      </c>
      <c r="I30" s="8"/>
      <c r="J30" s="8">
        <f>Source!BC24</f>
        <v>5.07</v>
      </c>
      <c r="K30" s="24">
        <f>Source!P24</f>
        <v>5068.15</v>
      </c>
      <c r="L30" s="8"/>
    </row>
    <row r="31" spans="1:12" ht="15">
      <c r="A31" s="8"/>
      <c r="B31" s="8"/>
      <c r="C31" s="8" t="s">
        <v>406</v>
      </c>
      <c r="D31" s="12" t="s">
        <v>407</v>
      </c>
      <c r="E31" s="8"/>
      <c r="F31" s="8">
        <f>Source!BZ24</f>
        <v>145.7</v>
      </c>
      <c r="G31" s="8"/>
      <c r="H31" s="24">
        <f>(F31/100)*((Source!S24/IF(Source!BA24&lt;&gt;0,Source!BA24,1))+(Source!R24/IF(Source!BS24&lt;&gt;0,Source!BS24,1)))</f>
        <v>3713.8805588235296</v>
      </c>
      <c r="I31" s="8"/>
      <c r="J31" s="8">
        <f>Source!AT24</f>
        <v>145.7</v>
      </c>
      <c r="K31" s="24">
        <f>Source!X24</f>
        <v>39144.3</v>
      </c>
      <c r="L31" s="8"/>
    </row>
    <row r="32" spans="1:12" ht="15">
      <c r="A32" s="8"/>
      <c r="B32" s="8"/>
      <c r="C32" s="8" t="s">
        <v>116</v>
      </c>
      <c r="D32" s="12" t="s">
        <v>407</v>
      </c>
      <c r="E32" s="8"/>
      <c r="F32" s="8">
        <f>Source!CA24</f>
        <v>100</v>
      </c>
      <c r="G32" s="8"/>
      <c r="H32" s="24">
        <f>(F32/100)*((Source!S24/IF(Source!BA24&lt;&gt;0,Source!BA24,1))+(Source!R24/IF(Source!BS24&lt;&gt;0,Source!BS24,1)))</f>
        <v>2548.9914611005697</v>
      </c>
      <c r="I32" s="8"/>
      <c r="J32" s="8">
        <f>Source!AU24</f>
        <v>100</v>
      </c>
      <c r="K32" s="24">
        <f>Source!Y24</f>
        <v>26866.37</v>
      </c>
      <c r="L32" s="8"/>
    </row>
    <row r="33" spans="1:12" ht="15">
      <c r="A33" s="8"/>
      <c r="B33" s="8"/>
      <c r="C33" s="8" t="s">
        <v>408</v>
      </c>
      <c r="D33" s="12" t="s">
        <v>409</v>
      </c>
      <c r="E33" s="8">
        <f>Source!AQ24</f>
        <v>318.92</v>
      </c>
      <c r="F33" s="8"/>
      <c r="G33" s="23">
        <f>Source!DI24</f>
      </c>
      <c r="H33" s="8"/>
      <c r="I33" s="8"/>
      <c r="J33" s="8"/>
      <c r="K33" s="8"/>
      <c r="L33" s="8">
        <f>Source!U24</f>
        <v>191.352</v>
      </c>
    </row>
    <row r="34" spans="1:23" ht="30">
      <c r="A34" s="28"/>
      <c r="B34" s="28" t="str">
        <f>Source!F25</f>
        <v>Цена поставщика</v>
      </c>
      <c r="C34" s="29" t="str">
        <f>CONCATENATE(Source!G25,"  ",Source!CN25)</f>
        <v>ШЛГ 50п30  </v>
      </c>
      <c r="D34" s="30" t="str">
        <f>Source!H25</f>
        <v>шт.</v>
      </c>
      <c r="E34" s="31">
        <f>ROUND(Source!I25,6)</f>
        <v>60</v>
      </c>
      <c r="F34" s="31">
        <f>IF(Source!AL25=0,Source!AK25,Source!AL25)</f>
        <v>39348</v>
      </c>
      <c r="G34" s="32">
        <f>Source!DD25</f>
      </c>
      <c r="H34" s="33">
        <f>IF(Source!BC25&lt;&gt;0,Source!O25/Source!BC25,Source!O25)</f>
        <v>2360880</v>
      </c>
      <c r="I34" s="31"/>
      <c r="J34" s="31">
        <f>Source!BC25</f>
        <v>1</v>
      </c>
      <c r="K34" s="33">
        <f>Source!O25</f>
        <v>2360880</v>
      </c>
      <c r="L34" s="31"/>
      <c r="N34">
        <f>IF(Source!BA25&lt;&gt;0,Source!S25/Source!BA25,Source!S25)</f>
        <v>0</v>
      </c>
      <c r="O34">
        <f>IF(Source!BI25=1,(IF(Source!BC25&lt;&gt;0,Source!O25/Source!BC25,Source!O25)),0)</f>
        <v>2360880</v>
      </c>
      <c r="P34">
        <f>IF(Source!BI25=2,(IF(Source!BC25&lt;&gt;0,Source!O25/Source!BC25,Source!O25)),0)</f>
        <v>0</v>
      </c>
      <c r="Q34">
        <f>IF(Source!BI25=3,(IF(Source!BC25&lt;&gt;0,Source!O25/Source!BC25,Source!O25)),0)</f>
        <v>0</v>
      </c>
      <c r="R34">
        <f>IF(Source!BI25=4,(IF(Source!BC25&lt;&gt;0,Source!O25/Source!BC25,Source!O25)),0)</f>
        <v>0</v>
      </c>
      <c r="S34">
        <f>IF(Source!BI25=1,Source!O25+Source!X25+Source!Y25,0)</f>
        <v>2360880</v>
      </c>
      <c r="T34">
        <f>IF(Source!BI25=2,Source!O25+Source!X25+Source!Y25,0)</f>
        <v>0</v>
      </c>
      <c r="U34">
        <f>IF(Source!BI25=3,Source!O25+Source!X25+Source!Y25,0)</f>
        <v>0</v>
      </c>
      <c r="V34">
        <f>IF(Source!BI25=4,Source!O25+Source!X25+Source!Y25,0)</f>
        <v>0</v>
      </c>
      <c r="W34">
        <f>IF(Source!BS25&lt;&gt;0,Source!R25/Source!BS25,Source!R25)</f>
        <v>0</v>
      </c>
    </row>
    <row r="35" spans="1:23" ht="15.75">
      <c r="A35" s="8"/>
      <c r="B35" s="8"/>
      <c r="C35" s="8"/>
      <c r="D35" s="8"/>
      <c r="E35" s="8"/>
      <c r="F35" s="8"/>
      <c r="G35" s="8"/>
      <c r="H35" s="34">
        <f>IF(Source!BA24&lt;&gt;0,Source!S24/Source!BA24,Source!S24)+IF(Source!BB24&lt;&gt;0,Source!Q24/Source!BB24,Source!Q24)+H30+H31+H32+H34</f>
        <v>2374192.6364433854</v>
      </c>
      <c r="I35" s="35"/>
      <c r="J35" s="35"/>
      <c r="K35" s="34">
        <f>Source!S24+Source!Q24+K30+K31+K32+K34</f>
        <v>2474822.47</v>
      </c>
      <c r="L35" s="35">
        <f>Source!U24</f>
        <v>191.352</v>
      </c>
      <c r="M35" s="25">
        <f>H35</f>
        <v>2374192.6364433854</v>
      </c>
      <c r="N35">
        <f>IF(Source!BA24&lt;&gt;0,Source!S24/Source!BA24,Source!S24)</f>
        <v>1926.9117647058827</v>
      </c>
      <c r="O35">
        <f>IF(Source!BI24=1,(IF(Source!BA24&lt;&gt;0,Source!S24/Source!BA24,Source!S24)+IF(Source!BB24&lt;&gt;0,Source!Q24/Source!BB24,Source!Q24)+IF(Source!BC24&lt;&gt;0,Source!P24/Source!BC24,Source!P24)+((Source!BZ24/100)*((Source!S24/IF(Source!BA24&lt;&gt;0,Source!BA24,1))+(Source!R24/IF(Source!BS24&lt;&gt;0,Source!BS24,1))))+((Source!CA24/100)*((Source!S24/IF(Source!BA24&lt;&gt;0,Source!BA24,1))+(Source!R24/IF(Source!BS24&lt;&gt;0,Source!BS24,1))))),0)</f>
        <v>13312.636443385467</v>
      </c>
      <c r="P35">
        <f>IF(Source!BI24=2,(IF(Source!BA24&lt;&gt;0,Source!S24/Source!BA24,Source!S24)+IF(Source!BB24&lt;&gt;0,Source!Q24/Source!BB24,Source!Q24)+IF(Source!BC24&lt;&gt;0,Source!P24/Source!BC24,Source!P24)+((Source!BZ24/100)*((Source!S24/IF(Source!BA24&lt;&gt;0,Source!BA24,1))+(Source!R24/IF(Source!BS24&lt;&gt;0,Source!BS24,1))))+((Source!CA24/100)*((Source!S24/IF(Source!BA24&lt;&gt;0,Source!BA24,1))+(Source!R24/IF(Source!BS24&lt;&gt;0,Source!BS24,1))))),0)</f>
        <v>0</v>
      </c>
      <c r="Q35">
        <f>IF(Source!BI24=3,(IF(Source!BA24&lt;&gt;0,Source!S24/Source!BA24,Source!S24)+IF(Source!BB24&lt;&gt;0,Source!Q24/Source!BB24,Source!Q24)+IF(Source!BC24&lt;&gt;0,Source!P24/Source!BC24,Source!P24)+((Source!BZ24/100)*((Source!S24/IF(Source!BA24&lt;&gt;0,Source!BA24,1))+(Source!R24/IF(Source!BS24&lt;&gt;0,Source!BS24,1))))+((Source!CA24/100)*((Source!S24/IF(Source!BA24&lt;&gt;0,Source!BA24,1))+(Source!R24/IF(Source!BS24&lt;&gt;0,Source!BS24,1))))),0)</f>
        <v>0</v>
      </c>
      <c r="R35">
        <f>IF(Source!BI24=4,(IF(Source!BA24&lt;&gt;0,Source!S24/Source!BA24,Source!S24)+IF(Source!BB24&lt;&gt;0,Source!Q24/Source!BB24,Source!Q24)+IF(Source!BC24&lt;&gt;0,Source!P24/Source!BC24,Source!P24)+((Source!BZ24/100)*((Source!S24/IF(Source!BA24&lt;&gt;0,Source!BA24,1))+(Source!R24/IF(Source!BS24&lt;&gt;0,Source!BS24,1))))+((Source!CA24/100)*((Source!S24/IF(Source!BA24&lt;&gt;0,Source!BA24,1))+(Source!R24/IF(Source!BS24&lt;&gt;0,Source!BS24,1))))),0)</f>
        <v>0</v>
      </c>
      <c r="S35">
        <f>IF(Source!BI24=1,Source!O24+Source!X24+Source!Y24,0)</f>
        <v>113942.47</v>
      </c>
      <c r="T35">
        <f>IF(Source!BI24=2,Source!O24+Source!X24+Source!Y24,0)</f>
        <v>0</v>
      </c>
      <c r="U35">
        <f>IF(Source!BI24=3,Source!O24+Source!X24+Source!Y24,0)</f>
        <v>0</v>
      </c>
      <c r="V35">
        <f>IF(Source!BI24=4,Source!O24+Source!X24+Source!Y24,0)</f>
        <v>0</v>
      </c>
      <c r="W35">
        <f>IF(Source!BS24&lt;&gt;0,Source!R24/Source!BS24,Source!R24)</f>
        <v>622.079696394687</v>
      </c>
    </row>
    <row r="36" spans="1:12" ht="15">
      <c r="A36" s="20" t="str">
        <f>Source!E26</f>
        <v>2</v>
      </c>
      <c r="B36" s="20">
        <f>Source!F26</f>
      </c>
      <c r="C36" s="21" t="str">
        <f>CONCATENATE(Source!G26,"  ",Source!CN26)</f>
        <v>Разница между договорной и сметной ценой  </v>
      </c>
      <c r="D36" s="22" t="str">
        <f>Source!H26</f>
        <v>шт</v>
      </c>
      <c r="E36" s="10">
        <f>ROUND(Source!I26,6)</f>
        <v>60</v>
      </c>
      <c r="F36" s="10">
        <f>IF(Source!AK26&lt;&gt;0,Source!AK26,Source!AL26+Source!AM26+Source!AO26)</f>
        <v>8997.483</v>
      </c>
      <c r="G36" s="10"/>
      <c r="H36" s="10"/>
      <c r="I36" s="10"/>
      <c r="J36" s="10"/>
      <c r="K36" s="10"/>
      <c r="L36" s="10"/>
    </row>
    <row r="37" spans="1:12" ht="15">
      <c r="A37" s="36"/>
      <c r="B37" s="36"/>
      <c r="C37" s="36" t="s">
        <v>405</v>
      </c>
      <c r="D37" s="36"/>
      <c r="E37" s="36"/>
      <c r="F37" s="36">
        <f>Source!AL26</f>
        <v>8997.483</v>
      </c>
      <c r="G37" s="37">
        <f>Source!DD26</f>
      </c>
      <c r="H37" s="38">
        <f>IF(Source!BC26&lt;&gt;0,Source!P26/Source!BC26,Source!P26)</f>
        <v>539848.98</v>
      </c>
      <c r="I37" s="36">
        <f>IF(Source!BO26&lt;&gt;"",Source!BO26,"")</f>
      </c>
      <c r="J37" s="36">
        <f>Source!BC26</f>
        <v>1</v>
      </c>
      <c r="K37" s="38">
        <f>Source!P26</f>
        <v>539848.98</v>
      </c>
      <c r="L37" s="36"/>
    </row>
    <row r="38" spans="1:23" ht="15.75">
      <c r="A38" s="8"/>
      <c r="B38" s="8"/>
      <c r="C38" s="8"/>
      <c r="D38" s="8"/>
      <c r="E38" s="8"/>
      <c r="F38" s="8"/>
      <c r="G38" s="8"/>
      <c r="H38" s="34">
        <f>IF(Source!BA26&lt;&gt;0,Source!S26/Source!BA26,Source!S26)+IF(Source!BB26&lt;&gt;0,Source!Q26/Source!BB26,Source!Q26)+H37</f>
        <v>539848.98</v>
      </c>
      <c r="I38" s="35"/>
      <c r="J38" s="35"/>
      <c r="K38" s="34">
        <f>Source!S26+Source!Q26+K37</f>
        <v>539848.98</v>
      </c>
      <c r="L38" s="35">
        <f>Source!U26</f>
        <v>0</v>
      </c>
      <c r="M38" s="25">
        <f>H38</f>
        <v>539848.98</v>
      </c>
      <c r="N38">
        <f>IF(Source!BA26&lt;&gt;0,Source!S26/Source!BA26,Source!S26)</f>
        <v>0</v>
      </c>
      <c r="O38">
        <f>IF(Source!BI26=1,(IF(Source!BA26&lt;&gt;0,Source!S26/Source!BA26,Source!S26)+IF(Source!BB26&lt;&gt;0,Source!Q26/Source!BB26,Source!Q26)+IF(Source!BC26&lt;&gt;0,Source!P26/Source!BC26,Source!P26)+((Source!BZ26/100)*((Source!S26/IF(Source!BA26&lt;&gt;0,Source!BA26,1))+(Source!R26/IF(Source!BS26&lt;&gt;0,Source!BS26,1))))+((Source!CA26/100)*((Source!S26/IF(Source!BA26&lt;&gt;0,Source!BA26,1))+(Source!R26/IF(Source!BS26&lt;&gt;0,Source!BS26,1))))),0)</f>
        <v>0</v>
      </c>
      <c r="P38">
        <f>IF(Source!BI26=2,(IF(Source!BA26&lt;&gt;0,Source!S26/Source!BA26,Source!S26)+IF(Source!BB26&lt;&gt;0,Source!Q26/Source!BB26,Source!Q26)+IF(Source!BC26&lt;&gt;0,Source!P26/Source!BC26,Source!P26)+((Source!BZ26/100)*((Source!S26/IF(Source!BA26&lt;&gt;0,Source!BA26,1))+(Source!R26/IF(Source!BS26&lt;&gt;0,Source!BS26,1))))+((Source!CA26/100)*((Source!S26/IF(Source!BA26&lt;&gt;0,Source!BA26,1))+(Source!R26/IF(Source!BS26&lt;&gt;0,Source!BS26,1))))),0)</f>
        <v>0</v>
      </c>
      <c r="Q38">
        <f>IF(Source!BI26=3,(IF(Source!BA26&lt;&gt;0,Source!S26/Source!BA26,Source!S26)+IF(Source!BB26&lt;&gt;0,Source!Q26/Source!BB26,Source!Q26)+IF(Source!BC26&lt;&gt;0,Source!P26/Source!BC26,Source!P26)+((Source!BZ26/100)*((Source!S26/IF(Source!BA26&lt;&gt;0,Source!BA26,1))+(Source!R26/IF(Source!BS26&lt;&gt;0,Source!BS26,1))))+((Source!CA26/100)*((Source!S26/IF(Source!BA26&lt;&gt;0,Source!BA26,1))+(Source!R26/IF(Source!BS26&lt;&gt;0,Source!BS26,1))))),0)</f>
        <v>0</v>
      </c>
      <c r="R38">
        <f>IF(Source!BI26=4,(IF(Source!BA26&lt;&gt;0,Source!S26/Source!BA26,Source!S26)+IF(Source!BB26&lt;&gt;0,Source!Q26/Source!BB26,Source!Q26)+IF(Source!BC26&lt;&gt;0,Source!P26/Source!BC26,Source!P26)+((Source!BZ26/100)*((Source!S26/IF(Source!BA26&lt;&gt;0,Source!BA26,1))+(Source!R26/IF(Source!BS26&lt;&gt;0,Source!BS26,1))))+((Source!CA26/100)*((Source!S26/IF(Source!BA26&lt;&gt;0,Source!BA26,1))+(Source!R26/IF(Source!BS26&lt;&gt;0,Source!BS26,1))))),0)</f>
        <v>539848.98</v>
      </c>
      <c r="S38">
        <f>IF(Source!BI26=1,Source!O26+Source!X26+Source!Y26,0)</f>
        <v>0</v>
      </c>
      <c r="T38">
        <f>IF(Source!BI26=2,Source!O26+Source!X26+Source!Y26,0)</f>
        <v>0</v>
      </c>
      <c r="U38">
        <f>IF(Source!BI26=3,Source!O26+Source!X26+Source!Y26,0)</f>
        <v>0</v>
      </c>
      <c r="V38">
        <f>IF(Source!BI26=4,Source!O26+Source!X26+Source!Y26,0)</f>
        <v>539848.98</v>
      </c>
      <c r="W38">
        <f>IF(Source!BS26&lt;&gt;0,Source!R26/Source!BS26,Source!R26)</f>
        <v>0</v>
      </c>
    </row>
    <row r="39" spans="1:12" ht="30">
      <c r="A39" s="20" t="str">
        <f>Source!E27</f>
        <v>6</v>
      </c>
      <c r="B39" s="20" t="str">
        <f>Source!F27</f>
        <v>07-05-011-1</v>
      </c>
      <c r="C39" s="21" t="str">
        <f>CONCATENATE(Source!G27,"  ",Source!CN27)</f>
        <v>Установка панелей перекрытий с опиранием по контуру площадью до 5 м2  </v>
      </c>
      <c r="D39" s="22" t="str">
        <f>Source!H27</f>
        <v>100 шт.</v>
      </c>
      <c r="E39" s="10">
        <f>ROUND(Source!I27,6)</f>
        <v>0.1</v>
      </c>
      <c r="F39" s="10">
        <f>IF(Source!AK27&lt;&gt;0,Source!AK27,Source!AL27+Source!AM27+Source!AO27)</f>
        <v>6063.36</v>
      </c>
      <c r="G39" s="10"/>
      <c r="H39" s="10"/>
      <c r="I39" s="10"/>
      <c r="J39" s="10"/>
      <c r="K39" s="10"/>
      <c r="L39" s="10"/>
    </row>
    <row r="40" spans="1:12" ht="15">
      <c r="A40" s="8"/>
      <c r="B40" s="8"/>
      <c r="C40" s="8" t="s">
        <v>403</v>
      </c>
      <c r="D40" s="8"/>
      <c r="E40" s="8"/>
      <c r="F40" s="8">
        <f>Source!AO27</f>
        <v>2066.92</v>
      </c>
      <c r="G40" s="23">
        <f>Source!DG27</f>
      </c>
      <c r="H40" s="24">
        <f>IF(Source!BA27&lt;&gt;0,Source!S27/Source!BA27,Source!S27)</f>
        <v>206.69165085388997</v>
      </c>
      <c r="I40" s="8" t="str">
        <f>IF(Source!BO27&lt;&gt;"",Source!BO27,"")</f>
        <v>07-05-011-1</v>
      </c>
      <c r="J40" s="8">
        <f>Source!BA27</f>
        <v>10.54</v>
      </c>
      <c r="K40" s="24">
        <f>Source!S27</f>
        <v>2178.53</v>
      </c>
      <c r="L40" s="8"/>
    </row>
    <row r="41" spans="1:12" ht="15">
      <c r="A41" s="8"/>
      <c r="B41" s="8"/>
      <c r="C41" s="8" t="s">
        <v>100</v>
      </c>
      <c r="D41" s="8"/>
      <c r="E41" s="8"/>
      <c r="F41" s="8">
        <f>Source!AM27</f>
        <v>2406.45</v>
      </c>
      <c r="G41" s="23">
        <f>Source!DE27</f>
      </c>
      <c r="H41" s="24">
        <f>IF(Source!BB27&lt;&gt;0,Source!Q27/Source!BB27,Source!Q27)</f>
        <v>240.645871559633</v>
      </c>
      <c r="I41" s="8"/>
      <c r="J41" s="8">
        <f>Source!BB27</f>
        <v>5.45</v>
      </c>
      <c r="K41" s="24">
        <f>Source!Q27</f>
        <v>1311.52</v>
      </c>
      <c r="L41" s="8"/>
    </row>
    <row r="42" spans="1:12" ht="15">
      <c r="A42" s="8"/>
      <c r="B42" s="8"/>
      <c r="C42" s="8" t="s">
        <v>404</v>
      </c>
      <c r="D42" s="8"/>
      <c r="E42" s="8"/>
      <c r="F42" s="8">
        <f>Source!AN27</f>
        <v>352.49</v>
      </c>
      <c r="G42" s="23">
        <f>Source!DF27</f>
      </c>
      <c r="H42" s="26">
        <f>IF(Source!BS27&lt;&gt;0,Source!R27/Source!BS27,Source!R27)</f>
        <v>35.24857685009488</v>
      </c>
      <c r="I42" s="8"/>
      <c r="J42" s="8">
        <f>Source!BS27</f>
        <v>10.54</v>
      </c>
      <c r="K42" s="12">
        <f>Source!R27</f>
        <v>371.52</v>
      </c>
      <c r="L42" s="8"/>
    </row>
    <row r="43" spans="1:12" ht="15">
      <c r="A43" s="8"/>
      <c r="B43" s="8"/>
      <c r="C43" s="8" t="s">
        <v>405</v>
      </c>
      <c r="D43" s="8"/>
      <c r="E43" s="8"/>
      <c r="F43" s="8">
        <f>Source!AL27</f>
        <v>1589.99</v>
      </c>
      <c r="G43" s="23">
        <f>Source!DD27</f>
      </c>
      <c r="H43" s="24">
        <f>IF(Source!BC27&lt;&gt;0,Source!P27/Source!BC27,Source!P27)</f>
        <v>159</v>
      </c>
      <c r="I43" s="8"/>
      <c r="J43" s="8">
        <f>Source!BC27</f>
        <v>5</v>
      </c>
      <c r="K43" s="24">
        <f>Source!P27</f>
        <v>795</v>
      </c>
      <c r="L43" s="8"/>
    </row>
    <row r="44" spans="1:12" ht="15">
      <c r="A44" s="8"/>
      <c r="B44" s="8"/>
      <c r="C44" s="8" t="s">
        <v>406</v>
      </c>
      <c r="D44" s="12" t="s">
        <v>407</v>
      </c>
      <c r="E44" s="8"/>
      <c r="F44" s="8">
        <f>Source!BZ27</f>
        <v>145.7</v>
      </c>
      <c r="G44" s="8"/>
      <c r="H44" s="24">
        <f>(F44/100)*((Source!S27/IF(Source!BA27&lt;&gt;0,Source!BA27,1))+(Source!R27/IF(Source!BS27&lt;&gt;0,Source!BS27,1)))</f>
        <v>352.5069117647059</v>
      </c>
      <c r="I44" s="8"/>
      <c r="J44" s="8">
        <f>Source!AT27</f>
        <v>145.7</v>
      </c>
      <c r="K44" s="24">
        <f>Source!X27</f>
        <v>3715.42</v>
      </c>
      <c r="L44" s="8"/>
    </row>
    <row r="45" spans="1:12" ht="15">
      <c r="A45" s="8"/>
      <c r="B45" s="8"/>
      <c r="C45" s="8" t="s">
        <v>116</v>
      </c>
      <c r="D45" s="12" t="s">
        <v>407</v>
      </c>
      <c r="E45" s="8"/>
      <c r="F45" s="8">
        <f>Source!CA27</f>
        <v>100</v>
      </c>
      <c r="G45" s="8"/>
      <c r="H45" s="24">
        <f>(F45/100)*((Source!S27/IF(Source!BA27&lt;&gt;0,Source!BA27,1))+(Source!R27/IF(Source!BS27&lt;&gt;0,Source!BS27,1)))</f>
        <v>241.94022770398485</v>
      </c>
      <c r="I45" s="8"/>
      <c r="J45" s="8">
        <f>Source!AU27</f>
        <v>100</v>
      </c>
      <c r="K45" s="24">
        <f>Source!Y27</f>
        <v>2550.05</v>
      </c>
      <c r="L45" s="8"/>
    </row>
    <row r="46" spans="1:12" ht="15">
      <c r="A46" s="8"/>
      <c r="B46" s="8"/>
      <c r="C46" s="8" t="s">
        <v>408</v>
      </c>
      <c r="D46" s="12" t="s">
        <v>409</v>
      </c>
      <c r="E46" s="8">
        <f>Source!AQ27</f>
        <v>224.91</v>
      </c>
      <c r="F46" s="8"/>
      <c r="G46" s="23">
        <f>Source!DI27</f>
      </c>
      <c r="H46" s="8"/>
      <c r="I46" s="8"/>
      <c r="J46" s="8"/>
      <c r="K46" s="8"/>
      <c r="L46" s="8">
        <f>Source!U27</f>
        <v>22.491</v>
      </c>
    </row>
    <row r="47" spans="1:23" ht="30">
      <c r="A47" s="28"/>
      <c r="B47" s="28" t="str">
        <f>Source!F28</f>
        <v>Цена поставщика</v>
      </c>
      <c r="C47" s="29" t="str">
        <f>CONCATENATE(Source!G28,"  ",Source!CN28)</f>
        <v>ПВГ 50п  </v>
      </c>
      <c r="D47" s="30" t="str">
        <f>Source!H28</f>
        <v>шт.</v>
      </c>
      <c r="E47" s="31">
        <f>ROUND(Source!I28,6)</f>
        <v>10</v>
      </c>
      <c r="F47" s="31">
        <f>IF(Source!AL28=0,Source!AK28,Source!AL28)</f>
        <v>14464</v>
      </c>
      <c r="G47" s="32">
        <f>Source!DD28</f>
      </c>
      <c r="H47" s="33">
        <f>IF(Source!BC28&lt;&gt;0,Source!O28/Source!BC28,Source!O28)</f>
        <v>144640</v>
      </c>
      <c r="I47" s="31"/>
      <c r="J47" s="31">
        <f>Source!BC28</f>
        <v>1</v>
      </c>
      <c r="K47" s="33">
        <f>Source!O28</f>
        <v>144640</v>
      </c>
      <c r="L47" s="31"/>
      <c r="N47">
        <f>IF(Source!BA28&lt;&gt;0,Source!S28/Source!BA28,Source!S28)</f>
        <v>0</v>
      </c>
      <c r="O47">
        <f>IF(Source!BI28=1,(IF(Source!BC28&lt;&gt;0,Source!O28/Source!BC28,Source!O28)),0)</f>
        <v>144640</v>
      </c>
      <c r="P47">
        <f>IF(Source!BI28=2,(IF(Source!BC28&lt;&gt;0,Source!O28/Source!BC28,Source!O28)),0)</f>
        <v>0</v>
      </c>
      <c r="Q47">
        <f>IF(Source!BI28=3,(IF(Source!BC28&lt;&gt;0,Source!O28/Source!BC28,Source!O28)),0)</f>
        <v>0</v>
      </c>
      <c r="R47">
        <f>IF(Source!BI28=4,(IF(Source!BC28&lt;&gt;0,Source!O28/Source!BC28,Source!O28)),0)</f>
        <v>0</v>
      </c>
      <c r="S47">
        <f>IF(Source!BI28=1,Source!O28+Source!X28+Source!Y28,0)</f>
        <v>144640</v>
      </c>
      <c r="T47">
        <f>IF(Source!BI28=2,Source!O28+Source!X28+Source!Y28,0)</f>
        <v>0</v>
      </c>
      <c r="U47">
        <f>IF(Source!BI28=3,Source!O28+Source!X28+Source!Y28,0)</f>
        <v>0</v>
      </c>
      <c r="V47">
        <f>IF(Source!BI28=4,Source!O28+Source!X28+Source!Y28,0)</f>
        <v>0</v>
      </c>
      <c r="W47">
        <f>IF(Source!BS28&lt;&gt;0,Source!R28/Source!BS28,Source!R28)</f>
        <v>0</v>
      </c>
    </row>
    <row r="48" spans="1:23" ht="15.75">
      <c r="A48" s="8"/>
      <c r="B48" s="8"/>
      <c r="C48" s="8"/>
      <c r="D48" s="8"/>
      <c r="E48" s="8"/>
      <c r="F48" s="8"/>
      <c r="G48" s="8"/>
      <c r="H48" s="34">
        <f>IF(Source!BA27&lt;&gt;0,Source!S27/Source!BA27,Source!S27)+IF(Source!BB27&lt;&gt;0,Source!Q27/Source!BB27,Source!Q27)+H43+H44+H45+H47</f>
        <v>145840.7846618822</v>
      </c>
      <c r="I48" s="35"/>
      <c r="J48" s="35"/>
      <c r="K48" s="34">
        <f>Source!S27+Source!Q27+K43+K44+K45+K47</f>
        <v>155190.52</v>
      </c>
      <c r="L48" s="35">
        <f>Source!U27</f>
        <v>22.491</v>
      </c>
      <c r="M48" s="25">
        <f>H48</f>
        <v>145840.7846618822</v>
      </c>
      <c r="N48">
        <f>IF(Source!BA27&lt;&gt;0,Source!S27/Source!BA27,Source!S27)</f>
        <v>206.69165085388997</v>
      </c>
      <c r="O48">
        <f>IF(Source!BI27=1,(IF(Source!BA27&lt;&gt;0,Source!S27/Source!BA27,Source!S27)+IF(Source!BB27&lt;&gt;0,Source!Q27/Source!BB27,Source!Q27)+IF(Source!BC27&lt;&gt;0,Source!P27/Source!BC27,Source!P27)+((Source!BZ27/100)*((Source!S27/IF(Source!BA27&lt;&gt;0,Source!BA27,1))+(Source!R27/IF(Source!BS27&lt;&gt;0,Source!BS27,1))))+((Source!CA27/100)*((Source!S27/IF(Source!BA27&lt;&gt;0,Source!BA27,1))+(Source!R27/IF(Source!BS27&lt;&gt;0,Source!BS27,1))))),0)</f>
        <v>1200.7846618822136</v>
      </c>
      <c r="P48">
        <f>IF(Source!BI27=2,(IF(Source!BA27&lt;&gt;0,Source!S27/Source!BA27,Source!S27)+IF(Source!BB27&lt;&gt;0,Source!Q27/Source!BB27,Source!Q27)+IF(Source!BC27&lt;&gt;0,Source!P27/Source!BC27,Source!P27)+((Source!BZ27/100)*((Source!S27/IF(Source!BA27&lt;&gt;0,Source!BA27,1))+(Source!R27/IF(Source!BS27&lt;&gt;0,Source!BS27,1))))+((Source!CA27/100)*((Source!S27/IF(Source!BA27&lt;&gt;0,Source!BA27,1))+(Source!R27/IF(Source!BS27&lt;&gt;0,Source!BS27,1))))),0)</f>
        <v>0</v>
      </c>
      <c r="Q48">
        <f>IF(Source!BI27=3,(IF(Source!BA27&lt;&gt;0,Source!S27/Source!BA27,Source!S27)+IF(Source!BB27&lt;&gt;0,Source!Q27/Source!BB27,Source!Q27)+IF(Source!BC27&lt;&gt;0,Source!P27/Source!BC27,Source!P27)+((Source!BZ27/100)*((Source!S27/IF(Source!BA27&lt;&gt;0,Source!BA27,1))+(Source!R27/IF(Source!BS27&lt;&gt;0,Source!BS27,1))))+((Source!CA27/100)*((Source!S27/IF(Source!BA27&lt;&gt;0,Source!BA27,1))+(Source!R27/IF(Source!BS27&lt;&gt;0,Source!BS27,1))))),0)</f>
        <v>0</v>
      </c>
      <c r="R48">
        <f>IF(Source!BI27=4,(IF(Source!BA27&lt;&gt;0,Source!S27/Source!BA27,Source!S27)+IF(Source!BB27&lt;&gt;0,Source!Q27/Source!BB27,Source!Q27)+IF(Source!BC27&lt;&gt;0,Source!P27/Source!BC27,Source!P27)+((Source!BZ27/100)*((Source!S27/IF(Source!BA27&lt;&gt;0,Source!BA27,1))+(Source!R27/IF(Source!BS27&lt;&gt;0,Source!BS27,1))))+((Source!CA27/100)*((Source!S27/IF(Source!BA27&lt;&gt;0,Source!BA27,1))+(Source!R27/IF(Source!BS27&lt;&gt;0,Source!BS27,1))))),0)</f>
        <v>0</v>
      </c>
      <c r="S48">
        <f>IF(Source!BI27=1,Source!O27+Source!X27+Source!Y27,0)</f>
        <v>10550.52</v>
      </c>
      <c r="T48">
        <f>IF(Source!BI27=2,Source!O27+Source!X27+Source!Y27,0)</f>
        <v>0</v>
      </c>
      <c r="U48">
        <f>IF(Source!BI27=3,Source!O27+Source!X27+Source!Y27,0)</f>
        <v>0</v>
      </c>
      <c r="V48">
        <f>IF(Source!BI27=4,Source!O27+Source!X27+Source!Y27,0)</f>
        <v>0</v>
      </c>
      <c r="W48">
        <f>IF(Source!BS27&lt;&gt;0,Source!R27/Source!BS27,Source!R27)</f>
        <v>35.24857685009488</v>
      </c>
    </row>
    <row r="49" spans="1:12" ht="15">
      <c r="A49" s="20" t="str">
        <f>Source!E29</f>
        <v>7</v>
      </c>
      <c r="B49" s="20">
        <f>Source!F29</f>
      </c>
      <c r="C49" s="21" t="str">
        <f>CONCATENATE(Source!G29,"  ",Source!CN29)</f>
        <v>Разница между договорной и сметной ценой  </v>
      </c>
      <c r="D49" s="22" t="str">
        <f>Source!H29</f>
        <v>шт</v>
      </c>
      <c r="E49" s="10">
        <f>ROUND(Source!I29,6)</f>
        <v>10</v>
      </c>
      <c r="F49" s="10">
        <f>IF(Source!AK29&lt;&gt;0,Source!AK29,Source!AL29+Source!AM29+Source!AO29)</f>
        <v>15465.07</v>
      </c>
      <c r="G49" s="10"/>
      <c r="H49" s="10"/>
      <c r="I49" s="10"/>
      <c r="J49" s="10"/>
      <c r="K49" s="10"/>
      <c r="L49" s="10"/>
    </row>
    <row r="50" spans="1:12" ht="15">
      <c r="A50" s="36"/>
      <c r="B50" s="36"/>
      <c r="C50" s="36" t="s">
        <v>405</v>
      </c>
      <c r="D50" s="36"/>
      <c r="E50" s="36"/>
      <c r="F50" s="36">
        <f>Source!AL29</f>
        <v>15465.07</v>
      </c>
      <c r="G50" s="37">
        <f>Source!DD29</f>
      </c>
      <c r="H50" s="38">
        <f>IF(Source!BC29&lt;&gt;0,Source!P29/Source!BC29,Source!P29)</f>
        <v>154650.7</v>
      </c>
      <c r="I50" s="36">
        <f>IF(Source!BO29&lt;&gt;"",Source!BO29,"")</f>
      </c>
      <c r="J50" s="36">
        <f>Source!BC29</f>
        <v>1</v>
      </c>
      <c r="K50" s="38">
        <f>Source!P29</f>
        <v>154650.7</v>
      </c>
      <c r="L50" s="36"/>
    </row>
    <row r="51" spans="1:23" ht="15.75">
      <c r="A51" s="8"/>
      <c r="B51" s="8"/>
      <c r="C51" s="8"/>
      <c r="D51" s="8"/>
      <c r="E51" s="8"/>
      <c r="F51" s="8"/>
      <c r="G51" s="8"/>
      <c r="H51" s="34">
        <f>IF(Source!BA29&lt;&gt;0,Source!S29/Source!BA29,Source!S29)+IF(Source!BB29&lt;&gt;0,Source!Q29/Source!BB29,Source!Q29)+H50</f>
        <v>154650.7</v>
      </c>
      <c r="I51" s="35"/>
      <c r="J51" s="35"/>
      <c r="K51" s="34">
        <f>Source!S29+Source!Q29+K50</f>
        <v>154650.7</v>
      </c>
      <c r="L51" s="35">
        <f>Source!U29</f>
        <v>0</v>
      </c>
      <c r="M51" s="25">
        <f>H51</f>
        <v>154650.7</v>
      </c>
      <c r="N51">
        <f>IF(Source!BA29&lt;&gt;0,Source!S29/Source!BA29,Source!S29)</f>
        <v>0</v>
      </c>
      <c r="O51">
        <f>IF(Source!BI29=1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P51">
        <f>IF(Source!BI29=2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Q51">
        <f>IF(Source!BI29=3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R51">
        <f>IF(Source!BI29=4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154650.7</v>
      </c>
      <c r="S51">
        <f>IF(Source!BI29=1,Source!O29+Source!X29+Source!Y29,0)</f>
        <v>0</v>
      </c>
      <c r="T51">
        <f>IF(Source!BI29=2,Source!O29+Source!X29+Source!Y29,0)</f>
        <v>0</v>
      </c>
      <c r="U51">
        <f>IF(Source!BI29=3,Source!O29+Source!X29+Source!Y29,0)</f>
        <v>0</v>
      </c>
      <c r="V51">
        <f>IF(Source!BI29=4,Source!O29+Source!X29+Source!Y29,0)</f>
        <v>154650.7</v>
      </c>
      <c r="W51">
        <f>IF(Source!BS29&lt;&gt;0,Source!R29/Source!BS29,Source!R29)</f>
        <v>0</v>
      </c>
    </row>
    <row r="52" spans="1:12" ht="30" customHeight="1">
      <c r="A52" s="20" t="str">
        <f>Source!E30</f>
        <v>8</v>
      </c>
      <c r="B52" s="20" t="str">
        <f>Source!F30</f>
        <v>26-01-011-1</v>
      </c>
      <c r="C52" s="21" t="str">
        <f>CONCATENATE(Source!G30,"  ",Source!CN30)</f>
        <v>Изоляция плоских и криволинейных поверхностей матами минераловатными   </v>
      </c>
      <c r="D52" s="22" t="str">
        <f>Source!H30</f>
        <v>1 м3</v>
      </c>
      <c r="E52" s="10">
        <f>ROUND(Source!I30,6)</f>
        <v>106.9</v>
      </c>
      <c r="F52" s="10">
        <f>IF(Source!AK30&lt;&gt;0,Source!AK30,Source!AL30+Source!AM30+Source!AO30)</f>
        <v>945.11</v>
      </c>
      <c r="G52" s="10"/>
      <c r="H52" s="10"/>
      <c r="I52" s="10"/>
      <c r="J52" s="10"/>
      <c r="K52" s="10"/>
      <c r="L52" s="10"/>
    </row>
    <row r="53" spans="1:12" ht="15">
      <c r="A53" s="8"/>
      <c r="B53" s="8"/>
      <c r="C53" s="8" t="s">
        <v>403</v>
      </c>
      <c r="D53" s="8"/>
      <c r="E53" s="8"/>
      <c r="F53" s="8">
        <f>Source!AO30</f>
        <v>137.64</v>
      </c>
      <c r="G53" s="23">
        <f>Source!DG30</f>
      </c>
      <c r="H53" s="24">
        <f>IF(Source!BA30&lt;&gt;0,Source!S30/Source!BA30,Source!S30)</f>
        <v>14713.71631878558</v>
      </c>
      <c r="I53" s="8" t="str">
        <f>IF(Source!BO30&lt;&gt;"",Source!BO30,"")</f>
        <v>26-01-011-1</v>
      </c>
      <c r="J53" s="8">
        <f>Source!BA30</f>
        <v>10.54</v>
      </c>
      <c r="K53" s="24">
        <f>Source!S30</f>
        <v>155082.57</v>
      </c>
      <c r="L53" s="8"/>
    </row>
    <row r="54" spans="1:12" ht="15">
      <c r="A54" s="8"/>
      <c r="B54" s="8"/>
      <c r="C54" s="8" t="s">
        <v>100</v>
      </c>
      <c r="D54" s="8"/>
      <c r="E54" s="8"/>
      <c r="F54" s="8">
        <f>Source!AM30</f>
        <v>61.22</v>
      </c>
      <c r="G54" s="23">
        <f>Source!DE30</f>
      </c>
      <c r="H54" s="24">
        <f>IF(Source!BB30&lt;&gt;0,Source!Q30/Source!BB30,Source!Q30)</f>
        <v>6544.417582417583</v>
      </c>
      <c r="I54" s="8"/>
      <c r="J54" s="8">
        <f>Source!BB30</f>
        <v>4.55</v>
      </c>
      <c r="K54" s="24">
        <f>Source!Q30</f>
        <v>29777.1</v>
      </c>
      <c r="L54" s="8"/>
    </row>
    <row r="55" spans="1:12" ht="15">
      <c r="A55" s="8"/>
      <c r="B55" s="8"/>
      <c r="C55" s="8" t="s">
        <v>405</v>
      </c>
      <c r="D55" s="8"/>
      <c r="E55" s="8"/>
      <c r="F55" s="8">
        <f>Source!AL30</f>
        <v>746.25</v>
      </c>
      <c r="G55" s="23">
        <f>Source!DD30</f>
      </c>
      <c r="H55" s="24">
        <f>IF(Source!BC30&lt;&gt;0,Source!P30/Source!BC30,Source!P30)</f>
        <v>79774.12542372881</v>
      </c>
      <c r="I55" s="8"/>
      <c r="J55" s="8">
        <f>Source!BC30</f>
        <v>2.95</v>
      </c>
      <c r="K55" s="24">
        <f>Source!P30</f>
        <v>235333.67</v>
      </c>
      <c r="L55" s="8"/>
    </row>
    <row r="56" spans="1:12" ht="15">
      <c r="A56" s="8"/>
      <c r="B56" s="8"/>
      <c r="C56" s="8" t="s">
        <v>406</v>
      </c>
      <c r="D56" s="12" t="s">
        <v>407</v>
      </c>
      <c r="E56" s="8"/>
      <c r="F56" s="8">
        <f>Source!BZ30</f>
        <v>94</v>
      </c>
      <c r="G56" s="8"/>
      <c r="H56" s="24">
        <f>(F56/100)*((Source!S30/IF(Source!BA30&lt;&gt;0,Source!BA30,1))+(Source!R30/IF(Source!BS30&lt;&gt;0,Source!BS30,1)))</f>
        <v>13830.893339658445</v>
      </c>
      <c r="I56" s="8"/>
      <c r="J56" s="8">
        <f>Source!AT30</f>
        <v>94</v>
      </c>
      <c r="K56" s="24">
        <f>Source!X30</f>
        <v>145777.62</v>
      </c>
      <c r="L56" s="8"/>
    </row>
    <row r="57" spans="1:12" ht="15">
      <c r="A57" s="8"/>
      <c r="B57" s="8"/>
      <c r="C57" s="8" t="s">
        <v>116</v>
      </c>
      <c r="D57" s="12" t="s">
        <v>407</v>
      </c>
      <c r="E57" s="8"/>
      <c r="F57" s="8">
        <f>Source!CA30</f>
        <v>70</v>
      </c>
      <c r="G57" s="8"/>
      <c r="H57" s="24">
        <f>(F57/100)*((Source!S30/IF(Source!BA30&lt;&gt;0,Source!BA30,1))+(Source!R30/IF(Source!BS30&lt;&gt;0,Source!BS30,1)))</f>
        <v>10299.601423149905</v>
      </c>
      <c r="I57" s="8"/>
      <c r="J57" s="8">
        <f>Source!AU30</f>
        <v>70</v>
      </c>
      <c r="K57" s="24">
        <f>Source!Y30</f>
        <v>108557.8</v>
      </c>
      <c r="L57" s="8"/>
    </row>
    <row r="58" spans="1:12" ht="15">
      <c r="A58" s="8"/>
      <c r="B58" s="8"/>
      <c r="C58" s="8" t="s">
        <v>408</v>
      </c>
      <c r="D58" s="12" t="s">
        <v>409</v>
      </c>
      <c r="E58" s="8">
        <f>Source!AQ30</f>
        <v>14.8</v>
      </c>
      <c r="F58" s="8"/>
      <c r="G58" s="23">
        <f>Source!DI30</f>
      </c>
      <c r="H58" s="8"/>
      <c r="I58" s="8"/>
      <c r="J58" s="8"/>
      <c r="K58" s="8"/>
      <c r="L58" s="8">
        <f>Source!U30</f>
        <v>1582.1200000000001</v>
      </c>
    </row>
    <row r="59" spans="1:23" ht="30">
      <c r="A59" s="20"/>
      <c r="B59" s="20" t="str">
        <f>Source!F31</f>
        <v>104-0012</v>
      </c>
      <c r="C59" s="21" t="str">
        <f>CONCATENATE(Source!G31,"  ",Source!CN31)</f>
        <v>Маты минераловатные прошивные без обкладок М-125, толщина 60 мм  </v>
      </c>
      <c r="D59" s="22" t="str">
        <f>Source!H31</f>
        <v>м3</v>
      </c>
      <c r="E59" s="10">
        <f>ROUND(Source!I31,6)</f>
        <v>-132.556</v>
      </c>
      <c r="F59" s="10">
        <f>IF(Source!AL31=0,Source!AK31,Source!AL31)</f>
        <v>492.8</v>
      </c>
      <c r="G59" s="27">
        <f>Source!DD31</f>
      </c>
      <c r="H59" s="11">
        <f>IF(Source!BC31&lt;&gt;0,Source!O31/Source!BC31,Source!O31)</f>
        <v>-65323.59661016948</v>
      </c>
      <c r="I59" s="10"/>
      <c r="J59" s="10">
        <f>Source!BC31</f>
        <v>2.95</v>
      </c>
      <c r="K59" s="11">
        <f>Source!O31</f>
        <v>-192704.61</v>
      </c>
      <c r="L59" s="10"/>
      <c r="N59">
        <f>IF(Source!BA31&lt;&gt;0,Source!S31/Source!BA31,Source!S31)</f>
        <v>0</v>
      </c>
      <c r="O59">
        <f>IF(Source!BI31=1,(IF(Source!BC31&lt;&gt;0,Source!O31/Source!BC31,Source!O31)),0)</f>
        <v>-65323.59661016948</v>
      </c>
      <c r="P59">
        <f>IF(Source!BI31=2,(IF(Source!BC31&lt;&gt;0,Source!O31/Source!BC31,Source!O31)),0)</f>
        <v>0</v>
      </c>
      <c r="Q59">
        <f>IF(Source!BI31=3,(IF(Source!BC31&lt;&gt;0,Source!O31/Source!BC31,Source!O31)),0)</f>
        <v>0</v>
      </c>
      <c r="R59">
        <f>IF(Source!BI31=4,(IF(Source!BC31&lt;&gt;0,Source!O31/Source!BC31,Source!O31)),0)</f>
        <v>0</v>
      </c>
      <c r="S59">
        <f>IF(Source!BI31=1,Source!O31+Source!X31+Source!Y31,0)</f>
        <v>-192704.61</v>
      </c>
      <c r="T59">
        <f>IF(Source!BI31=2,Source!O31+Source!X31+Source!Y31,0)</f>
        <v>0</v>
      </c>
      <c r="U59">
        <f>IF(Source!BI31=3,Source!O31+Source!X31+Source!Y31,0)</f>
        <v>0</v>
      </c>
      <c r="V59">
        <f>IF(Source!BI31=4,Source!O31+Source!X31+Source!Y31,0)</f>
        <v>0</v>
      </c>
      <c r="W59">
        <f>IF(Source!BS31&lt;&gt;0,Source!R31/Source!BS31,Source!R31)</f>
        <v>0</v>
      </c>
    </row>
    <row r="60" spans="1:23" ht="32.25" customHeight="1">
      <c r="A60" s="28"/>
      <c r="B60" s="28" t="str">
        <f>Source!F32</f>
        <v>Цена поставщика</v>
      </c>
      <c r="C60" s="29" t="str">
        <f>CONCATENATE(Source!G32,"  ",Source!CN32)</f>
        <v>Плита минераловатная  </v>
      </c>
      <c r="D60" s="30" t="str">
        <f>Source!H32</f>
        <v>м3</v>
      </c>
      <c r="E60" s="31">
        <f>ROUND(Source!I32,6)</f>
        <v>132.556</v>
      </c>
      <c r="F60" s="31">
        <f>IF(Source!AL32=0,Source!AK32,Source!AL32)</f>
        <v>2093.22</v>
      </c>
      <c r="G60" s="32">
        <f>Source!DD32</f>
      </c>
      <c r="H60" s="33">
        <f>IF(Source!BC32&lt;&gt;0,Source!O32/Source!BC32,Source!O32)</f>
        <v>277468.87</v>
      </c>
      <c r="I60" s="31"/>
      <c r="J60" s="31">
        <f>Source!BC32</f>
        <v>1</v>
      </c>
      <c r="K60" s="33">
        <f>Source!O32</f>
        <v>277468.87</v>
      </c>
      <c r="L60" s="31"/>
      <c r="N60">
        <f>IF(Source!BA32&lt;&gt;0,Source!S32/Source!BA32,Source!S32)</f>
        <v>0</v>
      </c>
      <c r="O60">
        <f>IF(Source!BI32=1,(IF(Source!BC32&lt;&gt;0,Source!O32/Source!BC32,Source!O32)),0)</f>
        <v>277468.87</v>
      </c>
      <c r="P60">
        <f>IF(Source!BI32=2,(IF(Source!BC32&lt;&gt;0,Source!O32/Source!BC32,Source!O32)),0)</f>
        <v>0</v>
      </c>
      <c r="Q60">
        <f>IF(Source!BI32=3,(IF(Source!BC32&lt;&gt;0,Source!O32/Source!BC32,Source!O32)),0)</f>
        <v>0</v>
      </c>
      <c r="R60">
        <f>IF(Source!BI32=4,(IF(Source!BC32&lt;&gt;0,Source!O32/Source!BC32,Source!O32)),0)</f>
        <v>0</v>
      </c>
      <c r="S60">
        <f>IF(Source!BI32=1,Source!O32+Source!X32+Source!Y32,0)</f>
        <v>277468.87</v>
      </c>
      <c r="T60">
        <f>IF(Source!BI32=2,Source!O32+Source!X32+Source!Y32,0)</f>
        <v>0</v>
      </c>
      <c r="U60">
        <f>IF(Source!BI32=3,Source!O32+Source!X32+Source!Y32,0)</f>
        <v>0</v>
      </c>
      <c r="V60">
        <f>IF(Source!BI32=4,Source!O32+Source!X32+Source!Y32,0)</f>
        <v>0</v>
      </c>
      <c r="W60">
        <f>IF(Source!BS32&lt;&gt;0,Source!R32/Source!BS32,Source!R32)</f>
        <v>0</v>
      </c>
    </row>
    <row r="61" spans="1:23" ht="15.75">
      <c r="A61" s="8"/>
      <c r="B61" s="8"/>
      <c r="C61" s="8"/>
      <c r="D61" s="8"/>
      <c r="E61" s="8"/>
      <c r="F61" s="8"/>
      <c r="G61" s="8"/>
      <c r="H61" s="34">
        <f>IF(Source!BA30&lt;&gt;0,Source!S30/Source!BA30,Source!S30)+IF(Source!BB30&lt;&gt;0,Source!Q30/Source!BB30,Source!Q30)+H55+H56+H57+H59+H60</f>
        <v>337308.0274775708</v>
      </c>
      <c r="I61" s="35"/>
      <c r="J61" s="35"/>
      <c r="K61" s="34">
        <f>Source!S30+Source!Q30+K55+K56+K57+K59+K60</f>
        <v>759293.02</v>
      </c>
      <c r="L61" s="35">
        <f>Source!U30</f>
        <v>1582.1200000000001</v>
      </c>
      <c r="M61" s="25">
        <f>H61</f>
        <v>337308.0274775708</v>
      </c>
      <c r="N61">
        <f>IF(Source!BA30&lt;&gt;0,Source!S30/Source!BA30,Source!S30)</f>
        <v>14713.71631878558</v>
      </c>
      <c r="O61">
        <f>IF(Source!BI30=1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125162.75408774032</v>
      </c>
      <c r="P61">
        <f>IF(Source!BI30=2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Q61">
        <f>IF(Source!BI30=3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R61">
        <f>IF(Source!BI30=4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S61">
        <f>IF(Source!BI30=1,Source!O30+Source!X30+Source!Y30,0)</f>
        <v>674528.76</v>
      </c>
      <c r="T61">
        <f>IF(Source!BI30=2,Source!O30+Source!X30+Source!Y30,0)</f>
        <v>0</v>
      </c>
      <c r="U61">
        <f>IF(Source!BI30=3,Source!O30+Source!X30+Source!Y30,0)</f>
        <v>0</v>
      </c>
      <c r="V61">
        <f>IF(Source!BI30=4,Source!O30+Source!X30+Source!Y30,0)</f>
        <v>0</v>
      </c>
      <c r="W61">
        <f>IF(Source!BS30&lt;&gt;0,Source!R30/Source!BS30,Source!R30)</f>
        <v>0</v>
      </c>
    </row>
    <row r="62" spans="1:12" ht="30">
      <c r="A62" s="20" t="str">
        <f>Source!E33</f>
        <v>9</v>
      </c>
      <c r="B62" s="20" t="str">
        <f>Source!F33</f>
        <v>08-01-002-1</v>
      </c>
      <c r="C62" s="21" t="str">
        <f>CONCATENATE(Source!G33,"  ",Source!CN33)</f>
        <v>Устройство основания под фундаменты песчаного  </v>
      </c>
      <c r="D62" s="22" t="str">
        <f>Source!H33</f>
        <v>1 м3</v>
      </c>
      <c r="E62" s="10">
        <f>ROUND(Source!I33,6)</f>
        <v>82.45</v>
      </c>
      <c r="F62" s="10">
        <f>IF(Source!AK33&lt;&gt;0,Source!AK33,Source!AL33+Source!AM33+Source!AO33)</f>
        <v>96.68</v>
      </c>
      <c r="G62" s="10"/>
      <c r="H62" s="10"/>
      <c r="I62" s="10"/>
      <c r="J62" s="10"/>
      <c r="K62" s="10"/>
      <c r="L62" s="10"/>
    </row>
    <row r="63" spans="1:12" ht="15">
      <c r="A63" s="8"/>
      <c r="B63" s="8"/>
      <c r="C63" s="8" t="s">
        <v>403</v>
      </c>
      <c r="D63" s="8"/>
      <c r="E63" s="8"/>
      <c r="F63" s="8">
        <f>Source!AO33</f>
        <v>7.02</v>
      </c>
      <c r="G63" s="23">
        <f>Source!DG33</f>
      </c>
      <c r="H63" s="24">
        <f>IF(Source!BA33&lt;&gt;0,Source!S33/Source!BA33,Source!S33)</f>
        <v>578.798861480076</v>
      </c>
      <c r="I63" s="8" t="str">
        <f>IF(Source!BO33&lt;&gt;"",Source!BO33,"")</f>
        <v>08-01-002-1</v>
      </c>
      <c r="J63" s="8">
        <f>Source!BA33</f>
        <v>10.54</v>
      </c>
      <c r="K63" s="24">
        <f>Source!S33</f>
        <v>6100.54</v>
      </c>
      <c r="L63" s="8"/>
    </row>
    <row r="64" spans="1:12" ht="15">
      <c r="A64" s="8"/>
      <c r="B64" s="8"/>
      <c r="C64" s="8" t="s">
        <v>100</v>
      </c>
      <c r="D64" s="8"/>
      <c r="E64" s="8"/>
      <c r="F64" s="8">
        <f>Source!AM33</f>
        <v>23.06</v>
      </c>
      <c r="G64" s="23">
        <f>Source!DE33</f>
      </c>
      <c r="H64" s="24">
        <f>IF(Source!BB33&lt;&gt;0,Source!Q33/Source!BB33,Source!Q33)</f>
        <v>1901.2971698113206</v>
      </c>
      <c r="I64" s="8"/>
      <c r="J64" s="8">
        <f>Source!BB33</f>
        <v>4.24</v>
      </c>
      <c r="K64" s="24">
        <f>Source!Q33</f>
        <v>8061.5</v>
      </c>
      <c r="L64" s="8"/>
    </row>
    <row r="65" spans="1:12" ht="15">
      <c r="A65" s="8"/>
      <c r="B65" s="8"/>
      <c r="C65" s="8" t="s">
        <v>404</v>
      </c>
      <c r="D65" s="8"/>
      <c r="E65" s="8"/>
      <c r="F65" s="8">
        <f>Source!AN33</f>
        <v>2.11</v>
      </c>
      <c r="G65" s="23">
        <f>Source!DF33</f>
      </c>
      <c r="H65" s="26">
        <f>IF(Source!BS33&lt;&gt;0,Source!R33/Source!BS33,Source!R33)</f>
        <v>173.96963946869073</v>
      </c>
      <c r="I65" s="8"/>
      <c r="J65" s="8">
        <f>Source!BS33</f>
        <v>10.54</v>
      </c>
      <c r="K65" s="12">
        <f>Source!R33</f>
        <v>1833.64</v>
      </c>
      <c r="L65" s="8"/>
    </row>
    <row r="66" spans="1:12" ht="15">
      <c r="A66" s="8"/>
      <c r="B66" s="8"/>
      <c r="C66" s="8" t="s">
        <v>405</v>
      </c>
      <c r="D66" s="8"/>
      <c r="E66" s="8"/>
      <c r="F66" s="8">
        <f>Source!AL33</f>
        <v>66.6</v>
      </c>
      <c r="G66" s="23">
        <f>Source!DD33</f>
      </c>
      <c r="H66" s="24">
        <f>IF(Source!BC33&lt;&gt;0,Source!P33/Source!BC33,Source!P33)</f>
        <v>5491.170046801873</v>
      </c>
      <c r="I66" s="8"/>
      <c r="J66" s="8">
        <f>Source!BC33</f>
        <v>6.41</v>
      </c>
      <c r="K66" s="24">
        <f>Source!P33</f>
        <v>35198.4</v>
      </c>
      <c r="L66" s="8"/>
    </row>
    <row r="67" spans="1:12" ht="15">
      <c r="A67" s="8"/>
      <c r="B67" s="8"/>
      <c r="C67" s="8" t="s">
        <v>406</v>
      </c>
      <c r="D67" s="12" t="s">
        <v>407</v>
      </c>
      <c r="E67" s="8"/>
      <c r="F67" s="8">
        <f>Source!BZ33</f>
        <v>114.68</v>
      </c>
      <c r="G67" s="8"/>
      <c r="H67" s="24">
        <f>(F67/100)*((Source!S33/IF(Source!BA33&lt;&gt;0,Source!BA33,1))+(Source!R33/IF(Source!BS33&lt;&gt;0,Source!BS33,1)))</f>
        <v>863.2749168880457</v>
      </c>
      <c r="I67" s="8"/>
      <c r="J67" s="8">
        <f>Source!AT33</f>
        <v>114.68</v>
      </c>
      <c r="K67" s="24">
        <f>Source!X33</f>
        <v>9098.92</v>
      </c>
      <c r="L67" s="8"/>
    </row>
    <row r="68" spans="1:12" ht="15">
      <c r="A68" s="8"/>
      <c r="B68" s="8"/>
      <c r="C68" s="8" t="s">
        <v>116</v>
      </c>
      <c r="D68" s="12" t="s">
        <v>407</v>
      </c>
      <c r="E68" s="8"/>
      <c r="F68" s="8">
        <f>Source!CA33</f>
        <v>80</v>
      </c>
      <c r="G68" s="8"/>
      <c r="H68" s="24">
        <f>(F68/100)*((Source!S33/IF(Source!BA33&lt;&gt;0,Source!BA33,1))+(Source!R33/IF(Source!BS33&lt;&gt;0,Source!BS33,1)))</f>
        <v>602.2148007590134</v>
      </c>
      <c r="I68" s="8"/>
      <c r="J68" s="8">
        <f>Source!AU33</f>
        <v>80</v>
      </c>
      <c r="K68" s="24">
        <f>Source!Y33</f>
        <v>6347.34</v>
      </c>
      <c r="L68" s="8"/>
    </row>
    <row r="69" spans="1:12" ht="15">
      <c r="A69" s="36"/>
      <c r="B69" s="36"/>
      <c r="C69" s="36" t="s">
        <v>408</v>
      </c>
      <c r="D69" s="39" t="s">
        <v>409</v>
      </c>
      <c r="E69" s="36">
        <f>Source!AQ33</f>
        <v>0.9</v>
      </c>
      <c r="F69" s="36"/>
      <c r="G69" s="37">
        <f>Source!DI33</f>
      </c>
      <c r="H69" s="36"/>
      <c r="I69" s="36"/>
      <c r="J69" s="36"/>
      <c r="K69" s="36"/>
      <c r="L69" s="36">
        <f>Source!U33</f>
        <v>74.205</v>
      </c>
    </row>
    <row r="70" spans="1:23" ht="15.75">
      <c r="A70" s="8"/>
      <c r="B70" s="8"/>
      <c r="C70" s="8"/>
      <c r="D70" s="8"/>
      <c r="E70" s="8"/>
      <c r="F70" s="8"/>
      <c r="G70" s="8"/>
      <c r="H70" s="34">
        <f>IF(Source!BA33&lt;&gt;0,Source!S33/Source!BA33,Source!S33)+IF(Source!BB33&lt;&gt;0,Source!Q33/Source!BB33,Source!Q33)+H66+H67+H68</f>
        <v>9436.755795740328</v>
      </c>
      <c r="I70" s="35"/>
      <c r="J70" s="35"/>
      <c r="K70" s="34">
        <f>Source!S33+Source!Q33+K66+K67+K68</f>
        <v>64806.7</v>
      </c>
      <c r="L70" s="35">
        <f>Source!U33</f>
        <v>74.205</v>
      </c>
      <c r="M70" s="25">
        <f>H70</f>
        <v>9436.755795740328</v>
      </c>
      <c r="N70">
        <f>IF(Source!BA33&lt;&gt;0,Source!S33/Source!BA33,Source!S33)</f>
        <v>578.798861480076</v>
      </c>
      <c r="O70">
        <f>IF(Source!BI33=1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9436.755795740328</v>
      </c>
      <c r="P70">
        <f>IF(Source!BI33=2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Q70">
        <f>IF(Source!BI33=3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R70">
        <f>IF(Source!BI33=4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S70">
        <f>IF(Source!BI33=1,Source!O33+Source!X33+Source!Y33,0)</f>
        <v>64806.7</v>
      </c>
      <c r="T70">
        <f>IF(Source!BI33=2,Source!O33+Source!X33+Source!Y33,0)</f>
        <v>0</v>
      </c>
      <c r="U70">
        <f>IF(Source!BI33=3,Source!O33+Source!X33+Source!Y33,0)</f>
        <v>0</v>
      </c>
      <c r="V70">
        <f>IF(Source!BI33=4,Source!O33+Source!X33+Source!Y33,0)</f>
        <v>0</v>
      </c>
      <c r="W70">
        <f>IF(Source!BS33&lt;&gt;0,Source!R33/Source!BS33,Source!R33)</f>
        <v>173.96963946869073</v>
      </c>
    </row>
    <row r="71" spans="1:12" ht="30">
      <c r="A71" s="20" t="str">
        <f>Source!E34</f>
        <v>10</v>
      </c>
      <c r="B71" s="20" t="str">
        <f>Source!F34</f>
        <v>06-01-001-1A</v>
      </c>
      <c r="C71" s="21" t="str">
        <f>CONCATENATE(Source!G34,"  ",Source!CN34)</f>
        <v>Устройство бетонной подготовки  </v>
      </c>
      <c r="D71" s="22" t="str">
        <f>Source!H34</f>
        <v>100 м3</v>
      </c>
      <c r="E71" s="10">
        <f>ROUND(Source!I34,6)</f>
        <v>0.097</v>
      </c>
      <c r="F71" s="10">
        <f>IF(Source!AK34&lt;&gt;0,Source!AK34,Source!AL34+Source!AM34+Source!AO34)</f>
        <v>61867.79</v>
      </c>
      <c r="G71" s="10"/>
      <c r="H71" s="10"/>
      <c r="I71" s="10"/>
      <c r="J71" s="10"/>
      <c r="K71" s="10"/>
      <c r="L71" s="10"/>
    </row>
    <row r="72" spans="1:12" ht="15">
      <c r="A72" s="8"/>
      <c r="B72" s="8"/>
      <c r="C72" s="8" t="s">
        <v>403</v>
      </c>
      <c r="D72" s="8"/>
      <c r="E72" s="8"/>
      <c r="F72" s="8">
        <f>Source!AO34</f>
        <v>1271.63</v>
      </c>
      <c r="G72" s="23">
        <f>Source!DG34</f>
      </c>
      <c r="H72" s="24">
        <f>IF(Source!BA34&lt;&gt;0,Source!S34/Source!BA34,Source!S34)</f>
        <v>123.3481973434535</v>
      </c>
      <c r="I72" s="8" t="str">
        <f>IF(Source!BO34&lt;&gt;"",Source!BO34,"")</f>
        <v>06-01-001-1A</v>
      </c>
      <c r="J72" s="8">
        <f>Source!BA34</f>
        <v>10.54</v>
      </c>
      <c r="K72" s="24">
        <f>Source!S34</f>
        <v>1300.09</v>
      </c>
      <c r="L72" s="8"/>
    </row>
    <row r="73" spans="1:12" ht="15">
      <c r="A73" s="8"/>
      <c r="B73" s="8"/>
      <c r="C73" s="8" t="s">
        <v>100</v>
      </c>
      <c r="D73" s="8"/>
      <c r="E73" s="8"/>
      <c r="F73" s="8">
        <f>Source!AM34</f>
        <v>921.89</v>
      </c>
      <c r="G73" s="23">
        <f>Source!DE34</f>
      </c>
      <c r="H73" s="24">
        <f>IF(Source!BB34&lt;&gt;0,Source!Q34/Source!BB34,Source!Q34)</f>
        <v>89.42258652094718</v>
      </c>
      <c r="I73" s="8"/>
      <c r="J73" s="8">
        <f>Source!BB34</f>
        <v>5.49</v>
      </c>
      <c r="K73" s="24">
        <f>Source!Q34</f>
        <v>490.93</v>
      </c>
      <c r="L73" s="8"/>
    </row>
    <row r="74" spans="1:12" ht="15">
      <c r="A74" s="8"/>
      <c r="B74" s="8"/>
      <c r="C74" s="8" t="s">
        <v>404</v>
      </c>
      <c r="D74" s="8"/>
      <c r="E74" s="8"/>
      <c r="F74" s="8">
        <f>Source!AN34</f>
        <v>140.13</v>
      </c>
      <c r="G74" s="23">
        <f>Source!DF34</f>
      </c>
      <c r="H74" s="26">
        <f>IF(Source!BS34&lt;&gt;0,Source!R34/Source!BS34,Source!R34)</f>
        <v>13.592979127134727</v>
      </c>
      <c r="I74" s="8"/>
      <c r="J74" s="8">
        <f>Source!BS34</f>
        <v>10.54</v>
      </c>
      <c r="K74" s="12">
        <f>Source!R34</f>
        <v>143.27</v>
      </c>
      <c r="L74" s="8"/>
    </row>
    <row r="75" spans="1:12" ht="15">
      <c r="A75" s="8"/>
      <c r="B75" s="8"/>
      <c r="C75" s="8" t="s">
        <v>405</v>
      </c>
      <c r="D75" s="8"/>
      <c r="E75" s="8"/>
      <c r="F75" s="8">
        <f>Source!AL34</f>
        <v>59674.27</v>
      </c>
      <c r="G75" s="23">
        <f>Source!DD34</f>
      </c>
      <c r="H75" s="24">
        <f>IF(Source!BC34&lt;&gt;0,Source!P34/Source!BC34,Source!P34)</f>
        <v>5788.404896421846</v>
      </c>
      <c r="I75" s="8"/>
      <c r="J75" s="8">
        <f>Source!BC34</f>
        <v>5.31</v>
      </c>
      <c r="K75" s="24">
        <f>Source!P34</f>
        <v>30736.43</v>
      </c>
      <c r="L75" s="8"/>
    </row>
    <row r="76" spans="1:12" ht="15">
      <c r="A76" s="8"/>
      <c r="B76" s="8"/>
      <c r="C76" s="8" t="s">
        <v>406</v>
      </c>
      <c r="D76" s="12" t="s">
        <v>407</v>
      </c>
      <c r="E76" s="8"/>
      <c r="F76" s="8">
        <f>Source!BZ34</f>
        <v>98.7</v>
      </c>
      <c r="G76" s="8"/>
      <c r="H76" s="24">
        <f>(F76/100)*((Source!S34/IF(Source!BA34&lt;&gt;0,Source!BA34,1))+(Source!R34/IF(Source!BS34&lt;&gt;0,Source!BS34,1)))</f>
        <v>135.16094117647057</v>
      </c>
      <c r="I76" s="8"/>
      <c r="J76" s="8">
        <f>Source!AT34</f>
        <v>98.7</v>
      </c>
      <c r="K76" s="24">
        <f>Source!X34</f>
        <v>1424.6</v>
      </c>
      <c r="L76" s="8"/>
    </row>
    <row r="77" spans="1:12" ht="15">
      <c r="A77" s="8"/>
      <c r="B77" s="8"/>
      <c r="C77" s="8" t="s">
        <v>116</v>
      </c>
      <c r="D77" s="12" t="s">
        <v>407</v>
      </c>
      <c r="E77" s="8"/>
      <c r="F77" s="8">
        <f>Source!CA34</f>
        <v>65</v>
      </c>
      <c r="G77" s="8"/>
      <c r="H77" s="24">
        <f>(F77/100)*((Source!S34/IF(Source!BA34&lt;&gt;0,Source!BA34,1))+(Source!R34/IF(Source!BS34&lt;&gt;0,Source!BS34,1)))</f>
        <v>89.01176470588236</v>
      </c>
      <c r="I77" s="8"/>
      <c r="J77" s="8">
        <f>Source!AU34</f>
        <v>65</v>
      </c>
      <c r="K77" s="24">
        <f>Source!Y34</f>
        <v>938.18</v>
      </c>
      <c r="L77" s="8"/>
    </row>
    <row r="78" spans="1:12" ht="15">
      <c r="A78" s="8"/>
      <c r="B78" s="8"/>
      <c r="C78" s="8" t="s">
        <v>408</v>
      </c>
      <c r="D78" s="12" t="s">
        <v>409</v>
      </c>
      <c r="E78" s="8">
        <f>Source!AQ34</f>
        <v>163.03</v>
      </c>
      <c r="F78" s="8"/>
      <c r="G78" s="23">
        <f>Source!DI34</f>
      </c>
      <c r="H78" s="8"/>
      <c r="I78" s="8"/>
      <c r="J78" s="8"/>
      <c r="K78" s="8"/>
      <c r="L78" s="8">
        <f>Source!U34</f>
        <v>15.81391</v>
      </c>
    </row>
    <row r="79" spans="1:23" ht="30">
      <c r="A79" s="20"/>
      <c r="B79" s="20" t="str">
        <f>Source!F35</f>
        <v>401-0023</v>
      </c>
      <c r="C79" s="21" t="str">
        <f>CONCATENATE(Source!G35,"  ",Source!CN35)</f>
        <v>Бетон тяжелый, крупность заполнителя более 40 мм, класс В 7,5 (М100)  </v>
      </c>
      <c r="D79" s="22" t="str">
        <f>Source!H35</f>
        <v>м3</v>
      </c>
      <c r="E79" s="10">
        <f>ROUND(Source!I35,6)</f>
        <v>-9.894</v>
      </c>
      <c r="F79" s="10">
        <f>IF(Source!AL35=0,Source!AK35,Source!AL35)</f>
        <v>560</v>
      </c>
      <c r="G79" s="27">
        <f>Source!DD35</f>
      </c>
      <c r="H79" s="11">
        <f>IF(Source!BC35&lt;&gt;0,Source!O35/Source!BC35,Source!O35)</f>
        <v>-5540.640301318268</v>
      </c>
      <c r="I79" s="10"/>
      <c r="J79" s="10">
        <f>Source!BC35</f>
        <v>5.31</v>
      </c>
      <c r="K79" s="11">
        <f>Source!O35</f>
        <v>-29420.8</v>
      </c>
      <c r="L79" s="10"/>
      <c r="N79">
        <f>IF(Source!BA35&lt;&gt;0,Source!S35/Source!BA35,Source!S35)</f>
        <v>0</v>
      </c>
      <c r="O79">
        <f>IF(Source!BI35=1,(IF(Source!BC35&lt;&gt;0,Source!O35/Source!BC35,Source!O35)),0)</f>
        <v>-5540.640301318268</v>
      </c>
      <c r="P79">
        <f>IF(Source!BI35=2,(IF(Source!BC35&lt;&gt;0,Source!O35/Source!BC35,Source!O35)),0)</f>
        <v>0</v>
      </c>
      <c r="Q79">
        <f>IF(Source!BI35=3,(IF(Source!BC35&lt;&gt;0,Source!O35/Source!BC35,Source!O35)),0)</f>
        <v>0</v>
      </c>
      <c r="R79">
        <f>IF(Source!BI35=4,(IF(Source!BC35&lt;&gt;0,Source!O35/Source!BC35,Source!O35)),0)</f>
        <v>0</v>
      </c>
      <c r="S79">
        <f>IF(Source!BI35=1,Source!O35+Source!X35+Source!Y35,0)</f>
        <v>-29420.8</v>
      </c>
      <c r="T79">
        <f>IF(Source!BI35=2,Source!O35+Source!X35+Source!Y35,0)</f>
        <v>0</v>
      </c>
      <c r="U79">
        <f>IF(Source!BI35=3,Source!O35+Source!X35+Source!Y35,0)</f>
        <v>0</v>
      </c>
      <c r="V79">
        <f>IF(Source!BI35=4,Source!O35+Source!X35+Source!Y35,0)</f>
        <v>0</v>
      </c>
      <c r="W79">
        <f>IF(Source!BS35&lt;&gt;0,Source!R35/Source!BS35,Source!R35)</f>
        <v>0</v>
      </c>
    </row>
    <row r="80" spans="1:23" ht="30">
      <c r="A80" s="28"/>
      <c r="B80" s="28" t="str">
        <f>Source!F36</f>
        <v>Цена поставщика</v>
      </c>
      <c r="C80" s="29" t="str">
        <f>CONCATENATE(Source!G36,"  ",Source!CN36)</f>
        <v>Бетон М 350  </v>
      </c>
      <c r="D80" s="30" t="str">
        <f>Source!H36</f>
        <v>м3</v>
      </c>
      <c r="E80" s="31">
        <f>ROUND(Source!I36,6)</f>
        <v>9.894</v>
      </c>
      <c r="F80" s="31">
        <f>IF(Source!AL36=0,Source!AK36,Source!AL36)</f>
        <v>3855.93</v>
      </c>
      <c r="G80" s="32">
        <f>Source!DD36</f>
      </c>
      <c r="H80" s="33">
        <f>IF(Source!BC36&lt;&gt;0,Source!O36/Source!BC36,Source!O36)</f>
        <v>38150.57</v>
      </c>
      <c r="I80" s="31"/>
      <c r="J80" s="31">
        <f>Source!BC36</f>
        <v>1</v>
      </c>
      <c r="K80" s="33">
        <f>Source!O36</f>
        <v>38150.57</v>
      </c>
      <c r="L80" s="31"/>
      <c r="N80">
        <f>IF(Source!BA36&lt;&gt;0,Source!S36/Source!BA36,Source!S36)</f>
        <v>0</v>
      </c>
      <c r="O80">
        <f>IF(Source!BI36=1,(IF(Source!BC36&lt;&gt;0,Source!O36/Source!BC36,Source!O36)),0)</f>
        <v>38150.57</v>
      </c>
      <c r="P80">
        <f>IF(Source!BI36=2,(IF(Source!BC36&lt;&gt;0,Source!O36/Source!BC36,Source!O36)),0)</f>
        <v>0</v>
      </c>
      <c r="Q80">
        <f>IF(Source!BI36=3,(IF(Source!BC36&lt;&gt;0,Source!O36/Source!BC36,Source!O36)),0)</f>
        <v>0</v>
      </c>
      <c r="R80">
        <f>IF(Source!BI36=4,(IF(Source!BC36&lt;&gt;0,Source!O36/Source!BC36,Source!O36)),0)</f>
        <v>0</v>
      </c>
      <c r="S80">
        <f>IF(Source!BI36=1,Source!O36+Source!X36+Source!Y36,0)</f>
        <v>38150.57</v>
      </c>
      <c r="T80">
        <f>IF(Source!BI36=2,Source!O36+Source!X36+Source!Y36,0)</f>
        <v>0</v>
      </c>
      <c r="U80">
        <f>IF(Source!BI36=3,Source!O36+Source!X36+Source!Y36,0)</f>
        <v>0</v>
      </c>
      <c r="V80">
        <f>IF(Source!BI36=4,Source!O36+Source!X36+Source!Y36,0)</f>
        <v>0</v>
      </c>
      <c r="W80">
        <f>IF(Source!BS36&lt;&gt;0,Source!R36/Source!BS36,Source!R36)</f>
        <v>0</v>
      </c>
    </row>
    <row r="81" spans="1:23" ht="15.75">
      <c r="A81" s="8"/>
      <c r="B81" s="8"/>
      <c r="C81" s="8"/>
      <c r="D81" s="8"/>
      <c r="E81" s="8"/>
      <c r="F81" s="8"/>
      <c r="G81" s="8"/>
      <c r="H81" s="34">
        <f>IF(Source!BA34&lt;&gt;0,Source!S34/Source!BA34,Source!S34)+IF(Source!BB34&lt;&gt;0,Source!Q34/Source!BB34,Source!Q34)+H75+H76+H77+H79+H80</f>
        <v>38835.27808485033</v>
      </c>
      <c r="I81" s="35"/>
      <c r="J81" s="35"/>
      <c r="K81" s="34">
        <f>Source!S34+Source!Q34+K75+K76+K77+K79+K80</f>
        <v>43620</v>
      </c>
      <c r="L81" s="35">
        <f>Source!U34</f>
        <v>15.81391</v>
      </c>
      <c r="M81" s="25">
        <f>H81</f>
        <v>38835.27808485033</v>
      </c>
      <c r="N81">
        <f>IF(Source!BA34&lt;&gt;0,Source!S34/Source!BA34,Source!S34)</f>
        <v>123.3481973434535</v>
      </c>
      <c r="O81">
        <f>IF(Source!BI34=1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6225.3483861686</v>
      </c>
      <c r="P81">
        <f>IF(Source!BI34=2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Q81">
        <f>IF(Source!BI34=3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R81">
        <f>IF(Source!BI34=4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S81">
        <f>IF(Source!BI34=1,Source!O34+Source!X34+Source!Y34,0)</f>
        <v>34890.23</v>
      </c>
      <c r="T81">
        <f>IF(Source!BI34=2,Source!O34+Source!X34+Source!Y34,0)</f>
        <v>0</v>
      </c>
      <c r="U81">
        <f>IF(Source!BI34=3,Source!O34+Source!X34+Source!Y34,0)</f>
        <v>0</v>
      </c>
      <c r="V81">
        <f>IF(Source!BI34=4,Source!O34+Source!X34+Source!Y34,0)</f>
        <v>0</v>
      </c>
      <c r="W81">
        <f>IF(Source!BS34&lt;&gt;0,Source!R34/Source!BS34,Source!R34)</f>
        <v>13.592979127134727</v>
      </c>
    </row>
    <row r="82" spans="1:12" ht="30">
      <c r="A82" s="20" t="str">
        <f>Source!E37</f>
        <v>11</v>
      </c>
      <c r="B82" s="20" t="str">
        <f>Source!F37</f>
        <v>06-01-015-10</v>
      </c>
      <c r="C82" s="21" t="str">
        <f>CONCATENATE(Source!G37,"  ",Source!CN37)</f>
        <v>Армирование подстилающих слоев и набетонок  </v>
      </c>
      <c r="D82" s="22" t="str">
        <f>Source!H37</f>
        <v>т</v>
      </c>
      <c r="E82" s="10">
        <f>ROUND(Source!I37,6)</f>
        <v>0.98</v>
      </c>
      <c r="F82" s="10">
        <f>IF(Source!AK37&lt;&gt;0,Source!AK37,Source!AL37+Source!AM37+Source!AO37)</f>
        <v>6082.1</v>
      </c>
      <c r="G82" s="10"/>
      <c r="H82" s="10"/>
      <c r="I82" s="10"/>
      <c r="J82" s="10"/>
      <c r="K82" s="10"/>
      <c r="L82" s="10"/>
    </row>
    <row r="83" spans="1:12" ht="15">
      <c r="A83" s="8"/>
      <c r="B83" s="8"/>
      <c r="C83" s="8" t="s">
        <v>403</v>
      </c>
      <c r="D83" s="8"/>
      <c r="E83" s="8"/>
      <c r="F83" s="8">
        <f>Source!AO37</f>
        <v>111.99</v>
      </c>
      <c r="G83" s="23">
        <f>Source!DG37</f>
      </c>
      <c r="H83" s="24">
        <f>IF(Source!BA37&lt;&gt;0,Source!S37/Source!BA37,Source!S37)</f>
        <v>109.75047438330172</v>
      </c>
      <c r="I83" s="8" t="str">
        <f>IF(Source!BO37&lt;&gt;"",Source!BO37,"")</f>
        <v>06-01-015-10</v>
      </c>
      <c r="J83" s="8">
        <f>Source!BA37</f>
        <v>10.54</v>
      </c>
      <c r="K83" s="24">
        <f>Source!S37</f>
        <v>1156.77</v>
      </c>
      <c r="L83" s="8"/>
    </row>
    <row r="84" spans="1:12" ht="15">
      <c r="A84" s="8"/>
      <c r="B84" s="8"/>
      <c r="C84" s="8" t="s">
        <v>100</v>
      </c>
      <c r="D84" s="8"/>
      <c r="E84" s="8"/>
      <c r="F84" s="8">
        <f>Source!AM37</f>
        <v>34.51</v>
      </c>
      <c r="G84" s="23">
        <f>Source!DE37</f>
      </c>
      <c r="H84" s="24">
        <f>IF(Source!BB37&lt;&gt;0,Source!Q37/Source!BB37,Source!Q37)</f>
        <v>33.81930184804928</v>
      </c>
      <c r="I84" s="8"/>
      <c r="J84" s="8">
        <f>Source!BB37</f>
        <v>4.87</v>
      </c>
      <c r="K84" s="24">
        <f>Source!Q37</f>
        <v>164.7</v>
      </c>
      <c r="L84" s="8"/>
    </row>
    <row r="85" spans="1:12" ht="15">
      <c r="A85" s="8"/>
      <c r="B85" s="8"/>
      <c r="C85" s="8" t="s">
        <v>404</v>
      </c>
      <c r="D85" s="8"/>
      <c r="E85" s="8"/>
      <c r="F85" s="8">
        <f>Source!AN37</f>
        <v>2.16</v>
      </c>
      <c r="G85" s="23">
        <f>Source!DF37</f>
      </c>
      <c r="H85" s="26">
        <f>IF(Source!BS37&lt;&gt;0,Source!R37/Source!BS37,Source!R37)</f>
        <v>2.116698292220114</v>
      </c>
      <c r="I85" s="8"/>
      <c r="J85" s="8">
        <f>Source!BS37</f>
        <v>10.54</v>
      </c>
      <c r="K85" s="12">
        <f>Source!R37</f>
        <v>22.31</v>
      </c>
      <c r="L85" s="8"/>
    </row>
    <row r="86" spans="1:12" ht="15">
      <c r="A86" s="8"/>
      <c r="B86" s="8"/>
      <c r="C86" s="8" t="s">
        <v>405</v>
      </c>
      <c r="D86" s="8"/>
      <c r="E86" s="8"/>
      <c r="F86" s="8">
        <f>Source!AL37</f>
        <v>5935.6</v>
      </c>
      <c r="G86" s="23">
        <f>Source!DD37</f>
      </c>
      <c r="H86" s="24">
        <f>IF(Source!BC37&lt;&gt;0,Source!P37/Source!BC37,Source!P37)</f>
        <v>5816.887755102041</v>
      </c>
      <c r="I86" s="8"/>
      <c r="J86" s="8">
        <f>Source!BC37</f>
        <v>3.92</v>
      </c>
      <c r="K86" s="24">
        <f>Source!P37</f>
        <v>22802.2</v>
      </c>
      <c r="L86" s="8"/>
    </row>
    <row r="87" spans="1:12" ht="15">
      <c r="A87" s="8"/>
      <c r="B87" s="8"/>
      <c r="C87" s="8" t="s">
        <v>406</v>
      </c>
      <c r="D87" s="12" t="s">
        <v>407</v>
      </c>
      <c r="E87" s="8"/>
      <c r="F87" s="8">
        <f>Source!BZ37</f>
        <v>98.7</v>
      </c>
      <c r="G87" s="8"/>
      <c r="H87" s="24">
        <f>(F87/100)*((Source!S37/IF(Source!BA37&lt;&gt;0,Source!BA37,1))+(Source!R37/IF(Source!BS37&lt;&gt;0,Source!BS37,1)))</f>
        <v>110.41289943074004</v>
      </c>
      <c r="I87" s="8"/>
      <c r="J87" s="8">
        <f>Source!AT37</f>
        <v>98.7</v>
      </c>
      <c r="K87" s="24">
        <f>Source!X37</f>
        <v>1163.75</v>
      </c>
      <c r="L87" s="8"/>
    </row>
    <row r="88" spans="1:12" ht="15">
      <c r="A88" s="8"/>
      <c r="B88" s="8"/>
      <c r="C88" s="8" t="s">
        <v>116</v>
      </c>
      <c r="D88" s="12" t="s">
        <v>407</v>
      </c>
      <c r="E88" s="8"/>
      <c r="F88" s="8">
        <f>Source!CA37</f>
        <v>65</v>
      </c>
      <c r="G88" s="8"/>
      <c r="H88" s="24">
        <f>(F88/100)*((Source!S37/IF(Source!BA37&lt;&gt;0,Source!BA37,1))+(Source!R37/IF(Source!BS37&lt;&gt;0,Source!BS37,1)))</f>
        <v>72.71366223908919</v>
      </c>
      <c r="I88" s="8"/>
      <c r="J88" s="8">
        <f>Source!AU37</f>
        <v>65</v>
      </c>
      <c r="K88" s="24">
        <f>Source!Y37</f>
        <v>766.4</v>
      </c>
      <c r="L88" s="8"/>
    </row>
    <row r="89" spans="1:12" ht="15">
      <c r="A89" s="8"/>
      <c r="B89" s="8"/>
      <c r="C89" s="8" t="s">
        <v>408</v>
      </c>
      <c r="D89" s="12" t="s">
        <v>409</v>
      </c>
      <c r="E89" s="8">
        <f>Source!AQ37</f>
        <v>12.64</v>
      </c>
      <c r="F89" s="8"/>
      <c r="G89" s="23">
        <f>Source!DI37</f>
      </c>
      <c r="H89" s="8"/>
      <c r="I89" s="8"/>
      <c r="J89" s="8"/>
      <c r="K89" s="8"/>
      <c r="L89" s="8">
        <f>Source!U37</f>
        <v>12.3872</v>
      </c>
    </row>
    <row r="90" spans="1:23" ht="30">
      <c r="A90" s="20"/>
      <c r="B90" s="20" t="str">
        <f>Source!F38</f>
        <v>204-0100</v>
      </c>
      <c r="C90" s="21" t="str">
        <f>CONCATENATE(Source!G38,"  ",Source!CN38)</f>
        <v>Горячекатаная арматурная сталь класса А-I, А-II, А-III  </v>
      </c>
      <c r="D90" s="22" t="str">
        <f>Source!H38</f>
        <v>т</v>
      </c>
      <c r="E90" s="10">
        <f>ROUND(Source!I38,6)</f>
        <v>-0.98</v>
      </c>
      <c r="F90" s="10">
        <f>IF(Source!AL38=0,Source!AK38,Source!AL38)</f>
        <v>5650</v>
      </c>
      <c r="G90" s="27">
        <f>Source!DD38</f>
      </c>
      <c r="H90" s="11">
        <f>IF(Source!BC38&lt;&gt;0,Source!O38/Source!BC38,Source!O38)</f>
        <v>-5537</v>
      </c>
      <c r="I90" s="10"/>
      <c r="J90" s="10">
        <f>Source!BC38</f>
        <v>3.92</v>
      </c>
      <c r="K90" s="11">
        <f>Source!O38</f>
        <v>-21705.04</v>
      </c>
      <c r="L90" s="10"/>
      <c r="N90">
        <f>IF(Source!BA38&lt;&gt;0,Source!S38/Source!BA38,Source!S38)</f>
        <v>0</v>
      </c>
      <c r="O90">
        <f>IF(Source!BI38=1,(IF(Source!BC38&lt;&gt;0,Source!O38/Source!BC38,Source!O38)),0)</f>
        <v>-5537</v>
      </c>
      <c r="P90">
        <f>IF(Source!BI38=2,(IF(Source!BC38&lt;&gt;0,Source!O38/Source!BC38,Source!O38)),0)</f>
        <v>0</v>
      </c>
      <c r="Q90">
        <f>IF(Source!BI38=3,(IF(Source!BC38&lt;&gt;0,Source!O38/Source!BC38,Source!O38)),0)</f>
        <v>0</v>
      </c>
      <c r="R90">
        <f>IF(Source!BI38=4,(IF(Source!BC38&lt;&gt;0,Source!O38/Source!BC38,Source!O38)),0)</f>
        <v>0</v>
      </c>
      <c r="S90">
        <f>IF(Source!BI38=1,Source!O38+Source!X38+Source!Y38,0)</f>
        <v>-21705.04</v>
      </c>
      <c r="T90">
        <f>IF(Source!BI38=2,Source!O38+Source!X38+Source!Y38,0)</f>
        <v>0</v>
      </c>
      <c r="U90">
        <f>IF(Source!BI38=3,Source!O38+Source!X38+Source!Y38,0)</f>
        <v>0</v>
      </c>
      <c r="V90">
        <f>IF(Source!BI38=4,Source!O38+Source!X38+Source!Y38,0)</f>
        <v>0</v>
      </c>
      <c r="W90">
        <f>IF(Source!BS38&lt;&gt;0,Source!R38/Source!BS38,Source!R38)</f>
        <v>0</v>
      </c>
    </row>
    <row r="91" spans="1:23" ht="30">
      <c r="A91" s="20"/>
      <c r="B91" s="20" t="str">
        <f>Source!F39</f>
        <v>Цена поставщика</v>
      </c>
      <c r="C91" s="21" t="str">
        <f>CONCATENATE(Source!G39,"  ",Source!CN39)</f>
        <v>Сетка ВР -1 d5 200х200  </v>
      </c>
      <c r="D91" s="22" t="str">
        <f>Source!H39</f>
        <v>м2</v>
      </c>
      <c r="E91" s="10">
        <f>ROUND(Source!I39,6)</f>
        <v>97.0004</v>
      </c>
      <c r="F91" s="10">
        <f>IF(Source!AL39=0,Source!AK39,Source!AL39)</f>
        <v>34.6</v>
      </c>
      <c r="G91" s="27">
        <f>Source!DD39</f>
      </c>
      <c r="H91" s="11">
        <f>IF(Source!BC39&lt;&gt;0,Source!O39/Source!BC39,Source!O39)</f>
        <v>3356.214285714286</v>
      </c>
      <c r="I91" s="10"/>
      <c r="J91" s="10">
        <f>Source!BC39</f>
        <v>3.92</v>
      </c>
      <c r="K91" s="11">
        <f>Source!O39</f>
        <v>13156.36</v>
      </c>
      <c r="L91" s="10"/>
      <c r="N91">
        <f>IF(Source!BA39&lt;&gt;0,Source!S39/Source!BA39,Source!S39)</f>
        <v>0</v>
      </c>
      <c r="O91">
        <f>IF(Source!BI39=1,(IF(Source!BC39&lt;&gt;0,Source!O39/Source!BC39,Source!O39)),0)</f>
        <v>3356.214285714286</v>
      </c>
      <c r="P91">
        <f>IF(Source!BI39=2,(IF(Source!BC39&lt;&gt;0,Source!O39/Source!BC39,Source!O39)),0)</f>
        <v>0</v>
      </c>
      <c r="Q91">
        <f>IF(Source!BI39=3,(IF(Source!BC39&lt;&gt;0,Source!O39/Source!BC39,Source!O39)),0)</f>
        <v>0</v>
      </c>
      <c r="R91">
        <f>IF(Source!BI39=4,(IF(Source!BC39&lt;&gt;0,Source!O39/Source!BC39,Source!O39)),0)</f>
        <v>0</v>
      </c>
      <c r="S91">
        <f>IF(Source!BI39=1,Source!O39+Source!X39+Source!Y39,0)</f>
        <v>13156.36</v>
      </c>
      <c r="T91">
        <f>IF(Source!BI39=2,Source!O39+Source!X39+Source!Y39,0)</f>
        <v>0</v>
      </c>
      <c r="U91">
        <f>IF(Source!BI39=3,Source!O39+Source!X39+Source!Y39,0)</f>
        <v>0</v>
      </c>
      <c r="V91">
        <f>IF(Source!BI39=4,Source!O39+Source!X39+Source!Y39,0)</f>
        <v>0</v>
      </c>
      <c r="W91">
        <f>IF(Source!BS39&lt;&gt;0,Source!R39/Source!BS39,Source!R39)</f>
        <v>0</v>
      </c>
    </row>
    <row r="92" spans="1:23" ht="30">
      <c r="A92" s="28"/>
      <c r="B92" s="28" t="str">
        <f>Source!F40</f>
        <v>Цена поставщика</v>
      </c>
      <c r="C92" s="29" t="str">
        <f>CONCATENATE(Source!G40,"  ",Source!CN40)</f>
        <v>Арматура А d12  </v>
      </c>
      <c r="D92" s="30" t="str">
        <f>Source!H40</f>
        <v>т</v>
      </c>
      <c r="E92" s="31">
        <f>ROUND(Source!I40,6)</f>
        <v>0.98</v>
      </c>
      <c r="F92" s="31">
        <f>IF(Source!AL40=0,Source!AK40,Source!AL40)</f>
        <v>18300.65</v>
      </c>
      <c r="G92" s="32">
        <f>Source!DD40</f>
      </c>
      <c r="H92" s="33">
        <f>IF(Source!BC40&lt;&gt;0,Source!O40/Source!BC40,Source!O40)</f>
        <v>17934.63775510204</v>
      </c>
      <c r="I92" s="31"/>
      <c r="J92" s="31">
        <f>Source!BC40</f>
        <v>3.92</v>
      </c>
      <c r="K92" s="33">
        <f>Source!O40</f>
        <v>70303.78</v>
      </c>
      <c r="L92" s="31"/>
      <c r="N92">
        <f>IF(Source!BA40&lt;&gt;0,Source!S40/Source!BA40,Source!S40)</f>
        <v>0</v>
      </c>
      <c r="O92">
        <f>IF(Source!BI40=1,(IF(Source!BC40&lt;&gt;0,Source!O40/Source!BC40,Source!O40)),0)</f>
        <v>17934.63775510204</v>
      </c>
      <c r="P92">
        <f>IF(Source!BI40=2,(IF(Source!BC40&lt;&gt;0,Source!O40/Source!BC40,Source!O40)),0)</f>
        <v>0</v>
      </c>
      <c r="Q92">
        <f>IF(Source!BI40=3,(IF(Source!BC40&lt;&gt;0,Source!O40/Source!BC40,Source!O40)),0)</f>
        <v>0</v>
      </c>
      <c r="R92">
        <f>IF(Source!BI40=4,(IF(Source!BC40&lt;&gt;0,Source!O40/Source!BC40,Source!O40)),0)</f>
        <v>0</v>
      </c>
      <c r="S92">
        <f>IF(Source!BI40=1,Source!O40+Source!X40+Source!Y40,0)</f>
        <v>70303.78</v>
      </c>
      <c r="T92">
        <f>IF(Source!BI40=2,Source!O40+Source!X40+Source!Y40,0)</f>
        <v>0</v>
      </c>
      <c r="U92">
        <f>IF(Source!BI40=3,Source!O40+Source!X40+Source!Y40,0)</f>
        <v>0</v>
      </c>
      <c r="V92">
        <f>IF(Source!BI40=4,Source!O40+Source!X40+Source!Y40,0)</f>
        <v>0</v>
      </c>
      <c r="W92">
        <f>IF(Source!BS40&lt;&gt;0,Source!R40/Source!BS40,Source!R40)</f>
        <v>0</v>
      </c>
    </row>
    <row r="93" spans="1:23" ht="15.75">
      <c r="A93" s="8"/>
      <c r="B93" s="8"/>
      <c r="C93" s="8"/>
      <c r="D93" s="8"/>
      <c r="E93" s="8"/>
      <c r="F93" s="8"/>
      <c r="G93" s="8"/>
      <c r="H93" s="34">
        <f>IF(Source!BA37&lt;&gt;0,Source!S37/Source!BA37,Source!S37)+IF(Source!BB37&lt;&gt;0,Source!Q37/Source!BB37,Source!Q37)+H86+H87+H88+H90+H91+H92</f>
        <v>21897.43613381955</v>
      </c>
      <c r="I93" s="35"/>
      <c r="J93" s="35"/>
      <c r="K93" s="34">
        <f>Source!S37+Source!Q37+K86+K87+K88+K90+K91+K92</f>
        <v>87808.92</v>
      </c>
      <c r="L93" s="35">
        <f>Source!U37</f>
        <v>12.3872</v>
      </c>
      <c r="M93" s="25">
        <f>H93</f>
        <v>21897.43613381955</v>
      </c>
      <c r="N93">
        <f>IF(Source!BA37&lt;&gt;0,Source!S37/Source!BA37,Source!S37)</f>
        <v>109.75047438330172</v>
      </c>
      <c r="O93">
        <f>IF(Source!BI37=1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6143.584093003222</v>
      </c>
      <c r="P93">
        <f>IF(Source!BI37=2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0</v>
      </c>
      <c r="Q93">
        <f>IF(Source!BI37=3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0</v>
      </c>
      <c r="R93">
        <f>IF(Source!BI37=4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0</v>
      </c>
      <c r="S93">
        <f>IF(Source!BI37=1,Source!O37+Source!X37+Source!Y37,0)</f>
        <v>26053.82</v>
      </c>
      <c r="T93">
        <f>IF(Source!BI37=2,Source!O37+Source!X37+Source!Y37,0)</f>
        <v>0</v>
      </c>
      <c r="U93">
        <f>IF(Source!BI37=3,Source!O37+Source!X37+Source!Y37,0)</f>
        <v>0</v>
      </c>
      <c r="V93">
        <f>IF(Source!BI37=4,Source!O37+Source!X37+Source!Y37,0)</f>
        <v>0</v>
      </c>
      <c r="W93">
        <f>IF(Source!BS37&lt;&gt;0,Source!R37/Source!BS37,Source!R37)</f>
        <v>2.116698292220114</v>
      </c>
    </row>
    <row r="95" spans="3:23" s="35" customFormat="1" ht="15.75">
      <c r="C95" s="35" t="s">
        <v>410</v>
      </c>
      <c r="G95" s="49">
        <f>SUM(M26:M94)</f>
        <v>3622010.598597249</v>
      </c>
      <c r="H95" s="49"/>
      <c r="J95" s="49">
        <f>ROUND(Source!AB22+Source!AK22+Source!AL22+Source!AE22*0/100,2)</f>
        <v>4280041.31</v>
      </c>
      <c r="K95" s="49"/>
      <c r="L95" s="35">
        <f>Source!AH22</f>
        <v>1898.37</v>
      </c>
      <c r="N95" s="34">
        <f aca="true" t="shared" si="0" ref="N95:W95">SUM(N26:N94)</f>
        <v>17659.217267552183</v>
      </c>
      <c r="O95" s="34">
        <f t="shared" si="0"/>
        <v>2927510.918597248</v>
      </c>
      <c r="P95" s="34">
        <f t="shared" si="0"/>
        <v>0</v>
      </c>
      <c r="Q95" s="34">
        <f t="shared" si="0"/>
        <v>0</v>
      </c>
      <c r="R95" s="34">
        <f t="shared" si="0"/>
        <v>694499.6799999999</v>
      </c>
      <c r="S95" s="34">
        <f t="shared" si="0"/>
        <v>3585541.6300000004</v>
      </c>
      <c r="T95" s="34">
        <f t="shared" si="0"/>
        <v>0</v>
      </c>
      <c r="U95" s="34">
        <f t="shared" si="0"/>
        <v>0</v>
      </c>
      <c r="V95" s="34">
        <f t="shared" si="0"/>
        <v>694499.6799999999</v>
      </c>
      <c r="W95" s="35">
        <f t="shared" si="0"/>
        <v>847.0075901328274</v>
      </c>
    </row>
    <row r="97" ht="1.5" customHeight="1"/>
    <row r="98" spans="3:23" s="40" customFormat="1" ht="18" hidden="1">
      <c r="C98" s="40" t="s">
        <v>411</v>
      </c>
      <c r="G98" s="50">
        <f>G95</f>
        <v>3622010.598597249</v>
      </c>
      <c r="H98" s="50"/>
      <c r="J98" s="50">
        <f>ROUND(Source!O42+Source!X42+Source!Y42+Source!R42*0/100,2)</f>
        <v>4280041.31</v>
      </c>
      <c r="K98" s="50"/>
      <c r="L98" s="40">
        <f>Source!U42</f>
        <v>1898.37</v>
      </c>
      <c r="N98" s="41">
        <f aca="true" t="shared" si="1" ref="N98:W98">N95</f>
        <v>17659.217267552183</v>
      </c>
      <c r="O98" s="41">
        <f t="shared" si="1"/>
        <v>2927510.918597248</v>
      </c>
      <c r="P98" s="41">
        <f t="shared" si="1"/>
        <v>0</v>
      </c>
      <c r="Q98" s="41">
        <f t="shared" si="1"/>
        <v>0</v>
      </c>
      <c r="R98" s="41">
        <f t="shared" si="1"/>
        <v>694499.6799999999</v>
      </c>
      <c r="S98" s="41">
        <f t="shared" si="1"/>
        <v>3585541.6300000004</v>
      </c>
      <c r="T98" s="41">
        <f t="shared" si="1"/>
        <v>0</v>
      </c>
      <c r="U98" s="41">
        <f t="shared" si="1"/>
        <v>0</v>
      </c>
      <c r="V98" s="41">
        <f t="shared" si="1"/>
        <v>694499.6799999999</v>
      </c>
      <c r="W98" s="40">
        <f t="shared" si="1"/>
        <v>847.0075901328274</v>
      </c>
    </row>
    <row r="99" ht="12.75" hidden="1"/>
    <row r="100" spans="3:11" ht="18" hidden="1">
      <c r="C100" s="40" t="s">
        <v>412</v>
      </c>
      <c r="D100" s="48" t="str">
        <f>Source!G42</f>
        <v>Новая локальная смета</v>
      </c>
      <c r="E100" s="48"/>
      <c r="F100" s="48"/>
      <c r="G100" s="48"/>
      <c r="H100" s="48"/>
      <c r="I100" s="48"/>
      <c r="J100" s="48"/>
      <c r="K100" s="48"/>
    </row>
    <row r="101" spans="3:12" ht="18" hidden="1">
      <c r="C101" s="45" t="str">
        <f>Source!H55</f>
        <v>ПРЯМЫЕ ЗАТРАТЫ</v>
      </c>
      <c r="D101" s="45"/>
      <c r="E101" s="45"/>
      <c r="F101" s="45"/>
      <c r="G101" s="45"/>
      <c r="H101" s="45"/>
      <c r="I101" s="45"/>
      <c r="J101" s="46">
        <f>Source!F55</f>
        <v>3933690.56</v>
      </c>
      <c r="K101" s="47"/>
      <c r="L101" s="42"/>
    </row>
    <row r="102" spans="3:12" ht="18" hidden="1">
      <c r="C102" s="45" t="str">
        <f>Source!H56</f>
        <v>НАКЛАДНЫЕ  РАСХОДЫ</v>
      </c>
      <c r="D102" s="45"/>
      <c r="E102" s="45"/>
      <c r="F102" s="45"/>
      <c r="G102" s="45"/>
      <c r="H102" s="45"/>
      <c r="I102" s="45"/>
      <c r="J102" s="46">
        <f>Source!F56</f>
        <v>200324.61</v>
      </c>
      <c r="K102" s="47"/>
      <c r="L102" s="42"/>
    </row>
    <row r="103" spans="3:12" ht="18" hidden="1">
      <c r="C103" s="45" t="str">
        <f>Source!H57</f>
        <v>СМЕТНАЯ ПРИБЫЛЬ</v>
      </c>
      <c r="D103" s="45"/>
      <c r="E103" s="45"/>
      <c r="F103" s="45"/>
      <c r="G103" s="45"/>
      <c r="H103" s="45"/>
      <c r="I103" s="45"/>
      <c r="J103" s="46">
        <f>Source!F57</f>
        <v>146026.14</v>
      </c>
      <c r="K103" s="47"/>
      <c r="L103" s="42"/>
    </row>
    <row r="104" spans="3:12" ht="18" hidden="1">
      <c r="C104" s="45" t="str">
        <f>Source!H58</f>
        <v>ИТОГО</v>
      </c>
      <c r="D104" s="45"/>
      <c r="E104" s="45"/>
      <c r="F104" s="45"/>
      <c r="G104" s="45"/>
      <c r="H104" s="45"/>
      <c r="I104" s="45"/>
      <c r="J104" s="46">
        <f>Source!F58</f>
        <v>4280041.31</v>
      </c>
      <c r="K104" s="47"/>
      <c r="L104" s="42"/>
    </row>
    <row r="105" spans="3:12" ht="18" hidden="1">
      <c r="C105" s="45" t="str">
        <f>Source!H61</f>
        <v>ЗИМНЕЕ УДОРОЖАНИЕ %</v>
      </c>
      <c r="D105" s="45"/>
      <c r="E105" s="45"/>
      <c r="F105" s="45"/>
      <c r="G105" s="45"/>
      <c r="H105" s="45"/>
      <c r="I105" s="45"/>
      <c r="J105" s="46">
        <f>Source!F61</f>
        <v>1.2</v>
      </c>
      <c r="K105" s="47"/>
      <c r="L105" s="42"/>
    </row>
    <row r="106" spans="3:12" ht="18" hidden="1">
      <c r="C106" s="45" t="str">
        <f>Source!H62</f>
        <v>С ЗИМНИМ УДОРОЖАНИЕМ</v>
      </c>
      <c r="D106" s="45"/>
      <c r="E106" s="45"/>
      <c r="F106" s="45"/>
      <c r="G106" s="45"/>
      <c r="H106" s="45"/>
      <c r="I106" s="45"/>
      <c r="J106" s="46">
        <f>Source!F62</f>
        <v>4331401.81</v>
      </c>
      <c r="K106" s="47"/>
      <c r="L106" s="42"/>
    </row>
    <row r="107" spans="3:12" ht="18" hidden="1">
      <c r="C107" s="45" t="str">
        <f>Source!H65</f>
        <v>НДС 18%</v>
      </c>
      <c r="D107" s="45"/>
      <c r="E107" s="45"/>
      <c r="F107" s="45"/>
      <c r="G107" s="45"/>
      <c r="H107" s="45"/>
      <c r="I107" s="45"/>
      <c r="J107" s="46">
        <f>Source!F65</f>
        <v>779652.33</v>
      </c>
      <c r="K107" s="47"/>
      <c r="L107" s="42"/>
    </row>
    <row r="108" spans="3:12" ht="18" hidden="1">
      <c r="C108" s="45" t="str">
        <f>Source!H66</f>
        <v>ВСЕГО</v>
      </c>
      <c r="D108" s="45"/>
      <c r="E108" s="45"/>
      <c r="F108" s="45"/>
      <c r="G108" s="45"/>
      <c r="H108" s="45"/>
      <c r="I108" s="45"/>
      <c r="J108" s="46">
        <f>Source!F66</f>
        <v>5111054.16</v>
      </c>
      <c r="K108" s="47"/>
      <c r="L108" s="42"/>
    </row>
    <row r="109" ht="12.75" hidden="1"/>
    <row r="110" spans="3:11" ht="18">
      <c r="C110" s="40" t="s">
        <v>413</v>
      </c>
      <c r="D110" s="48" t="str">
        <f>Source!G68</f>
        <v>Монтаж лифтовых шахт</v>
      </c>
      <c r="E110" s="48"/>
      <c r="F110" s="48"/>
      <c r="G110" s="48"/>
      <c r="H110" s="48"/>
      <c r="I110" s="48"/>
      <c r="J110" s="48"/>
      <c r="K110" s="48"/>
    </row>
    <row r="111" spans="3:12" ht="18">
      <c r="C111" s="45" t="str">
        <f>Source!H81</f>
        <v>ПРЯМЫЕ ЗАТРАТЫ</v>
      </c>
      <c r="D111" s="45"/>
      <c r="E111" s="45"/>
      <c r="F111" s="45"/>
      <c r="G111" s="45"/>
      <c r="H111" s="45"/>
      <c r="I111" s="45"/>
      <c r="J111" s="46">
        <f>Source!F81</f>
        <v>3933690.56</v>
      </c>
      <c r="K111" s="47"/>
      <c r="L111" s="42"/>
    </row>
    <row r="112" spans="3:12" ht="18">
      <c r="C112" s="45" t="str">
        <f>Source!H82</f>
        <v>НАКЛАДНЫЕ  РАСХОДЫ</v>
      </c>
      <c r="D112" s="45"/>
      <c r="E112" s="45"/>
      <c r="F112" s="45"/>
      <c r="G112" s="45"/>
      <c r="H112" s="45"/>
      <c r="I112" s="45"/>
      <c r="J112" s="46">
        <f>Source!F82</f>
        <v>200324.61</v>
      </c>
      <c r="K112" s="47"/>
      <c r="L112" s="42"/>
    </row>
    <row r="113" spans="3:12" ht="18">
      <c r="C113" s="45" t="str">
        <f>Source!H83</f>
        <v>СМЕТНАЯ ПРИБЫЛЬ</v>
      </c>
      <c r="D113" s="45"/>
      <c r="E113" s="45"/>
      <c r="F113" s="45"/>
      <c r="G113" s="45"/>
      <c r="H113" s="45"/>
      <c r="I113" s="45"/>
      <c r="J113" s="46">
        <f>Source!F83</f>
        <v>146026.14</v>
      </c>
      <c r="K113" s="47"/>
      <c r="L113" s="42"/>
    </row>
    <row r="114" spans="3:12" ht="18">
      <c r="C114" s="45" t="str">
        <f>Source!H84</f>
        <v>ИТОГО</v>
      </c>
      <c r="D114" s="45"/>
      <c r="E114" s="45"/>
      <c r="F114" s="45"/>
      <c r="G114" s="45"/>
      <c r="H114" s="45"/>
      <c r="I114" s="45"/>
      <c r="J114" s="46">
        <f>Source!F84</f>
        <v>4280041.31</v>
      </c>
      <c r="K114" s="47"/>
      <c r="L114" s="42"/>
    </row>
    <row r="115" spans="3:12" ht="18">
      <c r="C115" s="45" t="str">
        <f>Source!H87</f>
        <v>ЗИМНЕЕ УДОРОЖАНИЕ %</v>
      </c>
      <c r="D115" s="45"/>
      <c r="E115" s="45"/>
      <c r="F115" s="45"/>
      <c r="G115" s="45"/>
      <c r="H115" s="45"/>
      <c r="I115" s="45"/>
      <c r="J115" s="46">
        <f>Source!F87</f>
        <v>1.2</v>
      </c>
      <c r="K115" s="47"/>
      <c r="L115" s="42"/>
    </row>
    <row r="116" spans="3:12" ht="18">
      <c r="C116" s="45" t="str">
        <f>Source!H88</f>
        <v>С ЗИМНИМ УДОРОЖАНИЕМ</v>
      </c>
      <c r="D116" s="45"/>
      <c r="E116" s="45"/>
      <c r="F116" s="45"/>
      <c r="G116" s="45"/>
      <c r="H116" s="45"/>
      <c r="I116" s="45"/>
      <c r="J116" s="46">
        <f>Source!F88</f>
        <v>4331401.81</v>
      </c>
      <c r="K116" s="47"/>
      <c r="L116" s="42"/>
    </row>
    <row r="117" spans="3:12" ht="18">
      <c r="C117" s="45" t="str">
        <f>Source!H91</f>
        <v>НДС 18%</v>
      </c>
      <c r="D117" s="45"/>
      <c r="E117" s="45"/>
      <c r="F117" s="45"/>
      <c r="G117" s="45"/>
      <c r="H117" s="45"/>
      <c r="I117" s="45"/>
      <c r="J117" s="46">
        <f>Source!F91</f>
        <v>779652.33</v>
      </c>
      <c r="K117" s="47"/>
      <c r="L117" s="42"/>
    </row>
    <row r="118" spans="3:12" ht="18">
      <c r="C118" s="45" t="str">
        <f>Source!H92</f>
        <v>ВСЕГО</v>
      </c>
      <c r="D118" s="45"/>
      <c r="E118" s="45"/>
      <c r="F118" s="45"/>
      <c r="G118" s="45"/>
      <c r="H118" s="45"/>
      <c r="I118" s="45"/>
      <c r="J118" s="46">
        <f>Source!F92</f>
        <v>5111054.16</v>
      </c>
      <c r="K118" s="47"/>
      <c r="L118" s="42"/>
    </row>
    <row r="122" spans="1:8" s="4" customFormat="1" ht="12.75">
      <c r="A122" s="4" t="s">
        <v>414</v>
      </c>
      <c r="C122" s="43" t="str">
        <f>IF(Source!AO12&lt;&gt;"",Source!AO12," ")</f>
        <v> </v>
      </c>
      <c r="D122" s="43"/>
      <c r="E122" s="43"/>
      <c r="F122" s="43"/>
      <c r="G122" s="43"/>
      <c r="H122" s="4" t="str">
        <f>IF(Source!R12&lt;&gt;"",Source!R12," ")</f>
        <v> </v>
      </c>
    </row>
    <row r="123" spans="3:7" s="5" customFormat="1" ht="11.25">
      <c r="C123" s="44" t="s">
        <v>415</v>
      </c>
      <c r="D123" s="44"/>
      <c r="E123" s="44"/>
      <c r="F123" s="44"/>
      <c r="G123" s="44"/>
    </row>
    <row r="125" spans="1:8" s="4" customFormat="1" ht="12.75">
      <c r="A125" s="4" t="s">
        <v>416</v>
      </c>
      <c r="C125" s="43" t="str">
        <f>IF(Source!AP12&lt;&gt;"",Source!AP12," ")</f>
        <v> </v>
      </c>
      <c r="D125" s="43"/>
      <c r="E125" s="43"/>
      <c r="F125" s="43"/>
      <c r="G125" s="43"/>
      <c r="H125" s="4" t="str">
        <f>IF(Source!S12&lt;&gt;"",Source!S12," ")</f>
        <v> </v>
      </c>
    </row>
    <row r="126" spans="3:7" s="5" customFormat="1" ht="11.25">
      <c r="C126" s="44" t="s">
        <v>415</v>
      </c>
      <c r="D126" s="44"/>
      <c r="E126" s="44"/>
      <c r="F126" s="44"/>
      <c r="G126" s="44"/>
    </row>
  </sheetData>
  <mergeCells count="74">
    <mergeCell ref="A3:L3"/>
    <mergeCell ref="B5:L5"/>
    <mergeCell ref="B6:L6"/>
    <mergeCell ref="A8:L8"/>
    <mergeCell ref="G11:H11"/>
    <mergeCell ref="I11:J11"/>
    <mergeCell ref="C12:F12"/>
    <mergeCell ref="G12:H12"/>
    <mergeCell ref="I12:J12"/>
    <mergeCell ref="K12:L12"/>
    <mergeCell ref="C13:F13"/>
    <mergeCell ref="G13:H13"/>
    <mergeCell ref="I13:J13"/>
    <mergeCell ref="K13:L13"/>
    <mergeCell ref="C14:F14"/>
    <mergeCell ref="G14:H14"/>
    <mergeCell ref="I14:J14"/>
    <mergeCell ref="K14:L14"/>
    <mergeCell ref="C15:F15"/>
    <mergeCell ref="G15:H15"/>
    <mergeCell ref="I15:J15"/>
    <mergeCell ref="K15:L15"/>
    <mergeCell ref="C16:F16"/>
    <mergeCell ref="G16:H16"/>
    <mergeCell ref="I16:J16"/>
    <mergeCell ref="K16:L16"/>
    <mergeCell ref="C17:F17"/>
    <mergeCell ref="G17:H17"/>
    <mergeCell ref="I17:J17"/>
    <mergeCell ref="K17:L17"/>
    <mergeCell ref="C18:F18"/>
    <mergeCell ref="G18:H18"/>
    <mergeCell ref="I18:J18"/>
    <mergeCell ref="K18:L18"/>
    <mergeCell ref="J95:K95"/>
    <mergeCell ref="G95:H95"/>
    <mergeCell ref="J98:K98"/>
    <mergeCell ref="G98:H98"/>
    <mergeCell ref="D100:K100"/>
    <mergeCell ref="C101:I101"/>
    <mergeCell ref="J101:K101"/>
    <mergeCell ref="C102:I102"/>
    <mergeCell ref="J102:K102"/>
    <mergeCell ref="C103:I103"/>
    <mergeCell ref="J103:K103"/>
    <mergeCell ref="C104:I104"/>
    <mergeCell ref="J104:K104"/>
    <mergeCell ref="C105:I105"/>
    <mergeCell ref="J105:K105"/>
    <mergeCell ref="C106:I106"/>
    <mergeCell ref="J106:K106"/>
    <mergeCell ref="C107:I107"/>
    <mergeCell ref="J107:K107"/>
    <mergeCell ref="C108:I108"/>
    <mergeCell ref="J108:K108"/>
    <mergeCell ref="D110:K110"/>
    <mergeCell ref="C111:I111"/>
    <mergeCell ref="J111:K111"/>
    <mergeCell ref="C112:I112"/>
    <mergeCell ref="J112:K112"/>
    <mergeCell ref="C113:I113"/>
    <mergeCell ref="J113:K113"/>
    <mergeCell ref="C114:I114"/>
    <mergeCell ref="J114:K114"/>
    <mergeCell ref="C115:I115"/>
    <mergeCell ref="J115:K115"/>
    <mergeCell ref="C116:I116"/>
    <mergeCell ref="J116:K116"/>
    <mergeCell ref="C123:G123"/>
    <mergeCell ref="C126:G126"/>
    <mergeCell ref="C117:I117"/>
    <mergeCell ref="J117:K117"/>
    <mergeCell ref="C118:I118"/>
    <mergeCell ref="J118:K118"/>
  </mergeCells>
  <hyperlinks>
    <hyperlink ref="A1" r:id="rId1" display="http://smety.moy.su/"/>
  </hyperlink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55" r:id="rId2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1"/>
  <sheetViews>
    <sheetView workbookViewId="0" topLeftCell="T1">
      <selection activeCell="AK32" sqref="AK32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21359</v>
      </c>
    </row>
    <row r="12" spans="1:103" ht="12.75">
      <c r="A12" s="1">
        <v>1</v>
      </c>
      <c r="B12" s="1">
        <v>1</v>
      </c>
      <c r="C12" s="1">
        <v>0</v>
      </c>
      <c r="D12" s="1">
        <f>ROW(A68)</f>
        <v>68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2007</v>
      </c>
      <c r="Q12" s="1">
        <v>12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7507547</v>
      </c>
      <c r="BE12" s="1" t="s">
        <v>7</v>
      </c>
      <c r="BF12" s="1" t="s">
        <v>8</v>
      </c>
      <c r="BG12" s="1">
        <v>5677303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5439773</v>
      </c>
      <c r="CB12" s="1">
        <v>5439769</v>
      </c>
      <c r="CC12" s="1">
        <v>5439767</v>
      </c>
      <c r="CD12" s="1">
        <v>5439765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3381686</v>
      </c>
      <c r="CT12" s="1">
        <v>0</v>
      </c>
      <c r="CU12" s="1">
        <v>0</v>
      </c>
      <c r="CV12" s="1">
        <v>5633627</v>
      </c>
      <c r="CW12" s="1">
        <v>7252965</v>
      </c>
      <c r="CX12" s="1">
        <v>8946656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B68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Монтаж лифтовых шахт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3933690.56</v>
      </c>
      <c r="P18" s="2">
        <f t="shared" si="0"/>
        <v>3685202.66</v>
      </c>
      <c r="Q18" s="2">
        <f t="shared" si="0"/>
        <v>62359.75</v>
      </c>
      <c r="R18" s="2">
        <f t="shared" si="0"/>
        <v>8927.46</v>
      </c>
      <c r="S18" s="2">
        <f t="shared" si="0"/>
        <v>186128.15</v>
      </c>
      <c r="T18" s="2">
        <f t="shared" si="0"/>
        <v>0</v>
      </c>
      <c r="U18" s="2">
        <f t="shared" si="0"/>
        <v>1898.37</v>
      </c>
      <c r="V18" s="2">
        <f t="shared" si="0"/>
        <v>122.34</v>
      </c>
      <c r="W18" s="2">
        <f t="shared" si="0"/>
        <v>0</v>
      </c>
      <c r="X18" s="2">
        <f t="shared" si="0"/>
        <v>200324.61</v>
      </c>
      <c r="Y18" s="2">
        <f t="shared" si="0"/>
        <v>146026.14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ROW(A42)</f>
        <v>42</v>
      </c>
      <c r="E20" s="1"/>
      <c r="F20" s="1" t="s">
        <v>13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B42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3933690.56</v>
      </c>
      <c r="P22" s="2">
        <f t="shared" si="1"/>
        <v>3685202.66</v>
      </c>
      <c r="Q22" s="2">
        <f t="shared" si="1"/>
        <v>62359.75</v>
      </c>
      <c r="R22" s="2">
        <f t="shared" si="1"/>
        <v>8927.46</v>
      </c>
      <c r="S22" s="2">
        <f t="shared" si="1"/>
        <v>186128.15</v>
      </c>
      <c r="T22" s="2">
        <f t="shared" si="1"/>
        <v>0</v>
      </c>
      <c r="U22" s="2">
        <f t="shared" si="1"/>
        <v>1898.37</v>
      </c>
      <c r="V22" s="2">
        <f t="shared" si="1"/>
        <v>122.34</v>
      </c>
      <c r="W22" s="2">
        <f t="shared" si="1"/>
        <v>0</v>
      </c>
      <c r="X22" s="2">
        <f t="shared" si="1"/>
        <v>200324.61</v>
      </c>
      <c r="Y22" s="2">
        <f t="shared" si="1"/>
        <v>146026.14</v>
      </c>
      <c r="Z22" s="2">
        <f t="shared" si="1"/>
        <v>0</v>
      </c>
      <c r="AA22" s="2">
        <f t="shared" si="1"/>
        <v>0</v>
      </c>
      <c r="AB22" s="2">
        <f t="shared" si="1"/>
        <v>3933690.56</v>
      </c>
      <c r="AC22" s="2">
        <f t="shared" si="1"/>
        <v>3685202.66</v>
      </c>
      <c r="AD22" s="2">
        <f t="shared" si="1"/>
        <v>62359.75</v>
      </c>
      <c r="AE22" s="2">
        <f t="shared" si="1"/>
        <v>8927.46</v>
      </c>
      <c r="AF22" s="2">
        <f t="shared" si="1"/>
        <v>186128.15</v>
      </c>
      <c r="AG22" s="2">
        <f t="shared" si="1"/>
        <v>0</v>
      </c>
      <c r="AH22" s="2">
        <f t="shared" si="1"/>
        <v>1898.37</v>
      </c>
      <c r="AI22" s="2">
        <f t="shared" si="1"/>
        <v>122.34</v>
      </c>
      <c r="AJ22" s="2">
        <f t="shared" si="1"/>
        <v>0</v>
      </c>
      <c r="AK22" s="2">
        <f t="shared" si="1"/>
        <v>200324.61</v>
      </c>
      <c r="AL22" s="2">
        <f t="shared" si="1"/>
        <v>146026.14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ROW(SmtRes!A8)</f>
        <v>8</v>
      </c>
      <c r="D24">
        <f>ROW(EtalonRes!A8)</f>
        <v>8</v>
      </c>
      <c r="E24" t="s">
        <v>15</v>
      </c>
      <c r="F24" t="s">
        <v>16</v>
      </c>
      <c r="G24" t="s">
        <v>17</v>
      </c>
      <c r="H24" t="s">
        <v>18</v>
      </c>
      <c r="I24">
        <v>0.6</v>
      </c>
      <c r="J24">
        <v>0</v>
      </c>
      <c r="O24">
        <f aca="true" t="shared" si="2" ref="O24:O40">ROUND(CP24,2)</f>
        <v>47931.8</v>
      </c>
      <c r="P24">
        <f aca="true" t="shared" si="3" ref="P24:P40">ROUND(CQ24*I24,2)</f>
        <v>5068.15</v>
      </c>
      <c r="Q24">
        <f aca="true" t="shared" si="4" ref="Q24:Q40">ROUND(CR24*I24,2)</f>
        <v>22554</v>
      </c>
      <c r="R24">
        <f aca="true" t="shared" si="5" ref="R24:R40">ROUND(CS24*I24,2)</f>
        <v>6556.72</v>
      </c>
      <c r="S24">
        <f aca="true" t="shared" si="6" ref="S24:S40">ROUND(CT24*I24,2)</f>
        <v>20309.65</v>
      </c>
      <c r="T24">
        <f aca="true" t="shared" si="7" ref="T24:T40">ROUND(CU24*I24,2)</f>
        <v>0</v>
      </c>
      <c r="U24">
        <f aca="true" t="shared" si="8" ref="U24:U40">CV24*I24</f>
        <v>191.352</v>
      </c>
      <c r="V24">
        <f aca="true" t="shared" si="9" ref="V24:V40">CW24*I24</f>
        <v>46.428</v>
      </c>
      <c r="W24">
        <f aca="true" t="shared" si="10" ref="W24:W40">ROUND(CX24*I24,2)</f>
        <v>0</v>
      </c>
      <c r="X24">
        <f aca="true" t="shared" si="11" ref="X24:X40">ROUND(CY24,2)</f>
        <v>39144.3</v>
      </c>
      <c r="Y24">
        <f aca="true" t="shared" si="12" ref="Y24:Y40">ROUND(CZ24,2)</f>
        <v>26866.37</v>
      </c>
      <c r="AA24">
        <v>0</v>
      </c>
      <c r="AB24">
        <f aca="true" t="shared" si="13" ref="AB24:AB40">(AC24+AD24+AF24)</f>
        <v>11749.61</v>
      </c>
      <c r="AC24">
        <f>(ES24)</f>
        <v>1666.06</v>
      </c>
      <c r="AD24">
        <f>(ET24)</f>
        <v>6872.03</v>
      </c>
      <c r="AE24">
        <f>(EU24)</f>
        <v>1036.8</v>
      </c>
      <c r="AF24">
        <f>(EV24)</f>
        <v>3211.52</v>
      </c>
      <c r="AG24">
        <f>(AP24)</f>
        <v>0</v>
      </c>
      <c r="AH24">
        <f>(EW24)</f>
        <v>318.92</v>
      </c>
      <c r="AI24">
        <f>(EX24)</f>
        <v>77.38</v>
      </c>
      <c r="AJ24">
        <f>(AS24)</f>
        <v>0</v>
      </c>
      <c r="AK24">
        <v>11749.61</v>
      </c>
      <c r="AL24">
        <v>1666.06</v>
      </c>
      <c r="AM24">
        <v>6872.03</v>
      </c>
      <c r="AN24">
        <v>1036.8</v>
      </c>
      <c r="AO24">
        <v>3211.52</v>
      </c>
      <c r="AP24">
        <v>0</v>
      </c>
      <c r="AQ24">
        <v>318.92</v>
      </c>
      <c r="AR24">
        <v>77.38</v>
      </c>
      <c r="AS24">
        <v>0</v>
      </c>
      <c r="AT24">
        <f aca="true" t="shared" si="14" ref="AT24:AT40">BZ24</f>
        <v>145.7</v>
      </c>
      <c r="AU24">
        <f aca="true" t="shared" si="15" ref="AU24:AU40">CA24</f>
        <v>100</v>
      </c>
      <c r="AV24">
        <v>1</v>
      </c>
      <c r="AW24">
        <v>1</v>
      </c>
      <c r="AX24">
        <v>1</v>
      </c>
      <c r="AY24">
        <v>1</v>
      </c>
      <c r="AZ24">
        <v>8.41</v>
      </c>
      <c r="BA24">
        <v>10.54</v>
      </c>
      <c r="BB24">
        <v>5.47</v>
      </c>
      <c r="BC24">
        <v>5.07</v>
      </c>
      <c r="BH24">
        <v>0</v>
      </c>
      <c r="BI24">
        <v>1</v>
      </c>
      <c r="BJ24" t="s">
        <v>19</v>
      </c>
      <c r="BM24">
        <v>12</v>
      </c>
      <c r="BN24">
        <v>0</v>
      </c>
      <c r="BO24" t="s">
        <v>16</v>
      </c>
      <c r="BP24">
        <v>1</v>
      </c>
      <c r="BQ24">
        <v>2</v>
      </c>
      <c r="BR24">
        <v>0</v>
      </c>
      <c r="BS24">
        <v>10.54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145.7</v>
      </c>
      <c r="CA24">
        <v>100</v>
      </c>
      <c r="CF24">
        <v>0</v>
      </c>
      <c r="CG24">
        <v>0</v>
      </c>
      <c r="CM24">
        <v>1</v>
      </c>
      <c r="CO24">
        <v>0</v>
      </c>
      <c r="CP24">
        <f aca="true" t="shared" si="16" ref="CP24:CP40">(P24+Q24+S24)</f>
        <v>47931.8</v>
      </c>
      <c r="CQ24">
        <f aca="true" t="shared" si="17" ref="CQ24:CQ40">(AC24)*BC24</f>
        <v>8446.9242</v>
      </c>
      <c r="CR24">
        <f aca="true" t="shared" si="18" ref="CR24:CR40">(AD24)*BB24</f>
        <v>37590.0041</v>
      </c>
      <c r="CS24">
        <f aca="true" t="shared" si="19" ref="CS24:CS40">(AE24)*BS24</f>
        <v>10927.872</v>
      </c>
      <c r="CT24">
        <f aca="true" t="shared" si="20" ref="CT24:CT40">(AF24)*BA24</f>
        <v>33849.4208</v>
      </c>
      <c r="CU24">
        <f aca="true" t="shared" si="21" ref="CU24:CU40">(AG24)*BT24</f>
        <v>0</v>
      </c>
      <c r="CV24">
        <f aca="true" t="shared" si="22" ref="CV24:CV40">(AH24)*BU24</f>
        <v>318.92</v>
      </c>
      <c r="CW24">
        <f aca="true" t="shared" si="23" ref="CW24:CW40">(AI24)*BV24</f>
        <v>77.38</v>
      </c>
      <c r="CX24">
        <f aca="true" t="shared" si="24" ref="CX24:CX40">(AJ24)*BW24</f>
        <v>0</v>
      </c>
      <c r="CY24">
        <f aca="true" t="shared" si="25" ref="CY24:CY40">(((S24+R24)*BZ24)/100)</f>
        <v>39144.30109</v>
      </c>
      <c r="CZ24">
        <f aca="true" t="shared" si="26" ref="CZ24:CZ40">(((S24+R24)*CA24)/100)</f>
        <v>26866.370000000006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1010</v>
      </c>
      <c r="DV24" t="s">
        <v>18</v>
      </c>
      <c r="DW24" t="s">
        <v>18</v>
      </c>
      <c r="DX24">
        <v>100</v>
      </c>
      <c r="EE24">
        <v>5677326</v>
      </c>
      <c r="EF24">
        <v>2</v>
      </c>
      <c r="EG24" t="s">
        <v>20</v>
      </c>
      <c r="EH24">
        <v>0</v>
      </c>
      <c r="EJ24">
        <v>1</v>
      </c>
      <c r="EK24">
        <v>12</v>
      </c>
      <c r="EL24" t="s">
        <v>21</v>
      </c>
      <c r="EM24" t="s">
        <v>22</v>
      </c>
      <c r="EP24" t="s">
        <v>23</v>
      </c>
      <c r="EQ24">
        <v>0</v>
      </c>
      <c r="ER24">
        <v>11749.61</v>
      </c>
      <c r="ES24">
        <v>1666.06</v>
      </c>
      <c r="ET24">
        <v>6872.03</v>
      </c>
      <c r="EU24">
        <v>1036.8</v>
      </c>
      <c r="EV24">
        <v>3211.52</v>
      </c>
      <c r="EW24">
        <v>318.92</v>
      </c>
      <c r="EX24">
        <v>77.38</v>
      </c>
    </row>
    <row r="25" spans="1:154" ht="12.75">
      <c r="A25">
        <v>18</v>
      </c>
      <c r="B25">
        <v>1</v>
      </c>
      <c r="C25">
        <v>8</v>
      </c>
      <c r="E25" t="s">
        <v>24</v>
      </c>
      <c r="F25" t="s">
        <v>25</v>
      </c>
      <c r="G25" t="s">
        <v>26</v>
      </c>
      <c r="H25" t="s">
        <v>27</v>
      </c>
      <c r="I25">
        <f>I24*J25</f>
        <v>60</v>
      </c>
      <c r="J25">
        <v>100</v>
      </c>
      <c r="O25">
        <f t="shared" si="2"/>
        <v>2360880</v>
      </c>
      <c r="P25">
        <f t="shared" si="3"/>
        <v>2360880</v>
      </c>
      <c r="Q25">
        <f t="shared" si="4"/>
        <v>0</v>
      </c>
      <c r="R25">
        <f t="shared" si="5"/>
        <v>0</v>
      </c>
      <c r="S25">
        <f t="shared" si="6"/>
        <v>0</v>
      </c>
      <c r="T25">
        <f t="shared" si="7"/>
        <v>0</v>
      </c>
      <c r="U25">
        <f t="shared" si="8"/>
        <v>0</v>
      </c>
      <c r="V25">
        <f t="shared" si="9"/>
        <v>0</v>
      </c>
      <c r="W25">
        <f t="shared" si="10"/>
        <v>0</v>
      </c>
      <c r="X25">
        <f t="shared" si="11"/>
        <v>0</v>
      </c>
      <c r="Y25">
        <f t="shared" si="12"/>
        <v>0</v>
      </c>
      <c r="AA25">
        <v>0</v>
      </c>
      <c r="AB25">
        <f t="shared" si="13"/>
        <v>39348</v>
      </c>
      <c r="AC25">
        <f aca="true" t="shared" si="27" ref="AC25:AJ25">AL25</f>
        <v>39348</v>
      </c>
      <c r="AD25">
        <f t="shared" si="27"/>
        <v>0</v>
      </c>
      <c r="AE25">
        <f t="shared" si="27"/>
        <v>0</v>
      </c>
      <c r="AF25">
        <f t="shared" si="27"/>
        <v>0</v>
      </c>
      <c r="AG25">
        <f t="shared" si="27"/>
        <v>0</v>
      </c>
      <c r="AH25">
        <f t="shared" si="27"/>
        <v>0</v>
      </c>
      <c r="AI25">
        <f t="shared" si="27"/>
        <v>0</v>
      </c>
      <c r="AJ25">
        <f t="shared" si="27"/>
        <v>0</v>
      </c>
      <c r="AK25">
        <v>39348</v>
      </c>
      <c r="AL25">
        <v>39348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f t="shared" si="14"/>
        <v>145.7</v>
      </c>
      <c r="AU25">
        <f t="shared" si="15"/>
        <v>100</v>
      </c>
      <c r="AV25">
        <v>1</v>
      </c>
      <c r="AW25">
        <v>1</v>
      </c>
      <c r="AX25">
        <v>1</v>
      </c>
      <c r="AY25">
        <v>1</v>
      </c>
      <c r="AZ25">
        <v>8.41</v>
      </c>
      <c r="BA25">
        <v>10.54</v>
      </c>
      <c r="BB25">
        <v>5.47</v>
      </c>
      <c r="BC25">
        <v>1</v>
      </c>
      <c r="BH25">
        <v>3</v>
      </c>
      <c r="BI25">
        <v>1</v>
      </c>
      <c r="BJ25" t="s">
        <v>28</v>
      </c>
      <c r="BM25">
        <v>12</v>
      </c>
      <c r="BN25">
        <v>0</v>
      </c>
      <c r="BO25" t="s">
        <v>16</v>
      </c>
      <c r="BP25">
        <v>1</v>
      </c>
      <c r="BQ25">
        <v>2</v>
      </c>
      <c r="BR25">
        <v>0</v>
      </c>
      <c r="BS25">
        <v>10.54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145.7</v>
      </c>
      <c r="CA25">
        <v>100</v>
      </c>
      <c r="CF25">
        <v>0</v>
      </c>
      <c r="CG25">
        <v>0</v>
      </c>
      <c r="CM25">
        <v>1</v>
      </c>
      <c r="CO25">
        <v>0</v>
      </c>
      <c r="CP25">
        <f t="shared" si="16"/>
        <v>2360880</v>
      </c>
      <c r="CQ25">
        <f t="shared" si="17"/>
        <v>39348</v>
      </c>
      <c r="CR25">
        <f t="shared" si="18"/>
        <v>0</v>
      </c>
      <c r="CS25">
        <f t="shared" si="19"/>
        <v>0</v>
      </c>
      <c r="CT25">
        <f t="shared" si="20"/>
        <v>0</v>
      </c>
      <c r="CU25">
        <f t="shared" si="21"/>
        <v>0</v>
      </c>
      <c r="CV25">
        <f t="shared" si="22"/>
        <v>0</v>
      </c>
      <c r="CW25">
        <f t="shared" si="23"/>
        <v>0</v>
      </c>
      <c r="CX25">
        <f t="shared" si="24"/>
        <v>0</v>
      </c>
      <c r="CY25">
        <f t="shared" si="25"/>
        <v>0</v>
      </c>
      <c r="CZ25">
        <f t="shared" si="26"/>
        <v>0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1010</v>
      </c>
      <c r="DV25" t="s">
        <v>27</v>
      </c>
      <c r="DW25" t="s">
        <v>27</v>
      </c>
      <c r="DX25">
        <v>1</v>
      </c>
      <c r="EE25">
        <v>5677326</v>
      </c>
      <c r="EF25">
        <v>2</v>
      </c>
      <c r="EG25" t="s">
        <v>20</v>
      </c>
      <c r="EH25">
        <v>0</v>
      </c>
      <c r="EJ25">
        <v>1</v>
      </c>
      <c r="EK25">
        <v>12</v>
      </c>
      <c r="EL25" t="s">
        <v>21</v>
      </c>
      <c r="EM25" t="s">
        <v>22</v>
      </c>
      <c r="EQ25">
        <v>0</v>
      </c>
      <c r="ER25">
        <v>0</v>
      </c>
      <c r="ES25">
        <v>39348</v>
      </c>
      <c r="ET25">
        <v>0</v>
      </c>
      <c r="EU25">
        <v>0</v>
      </c>
      <c r="EV25">
        <v>0</v>
      </c>
      <c r="EW25">
        <v>0</v>
      </c>
      <c r="EX25">
        <v>0</v>
      </c>
    </row>
    <row r="26" spans="1:154" ht="12.75">
      <c r="A26">
        <v>17</v>
      </c>
      <c r="B26">
        <v>1</v>
      </c>
      <c r="E26" t="s">
        <v>29</v>
      </c>
      <c r="G26" t="s">
        <v>30</v>
      </c>
      <c r="H26" t="s">
        <v>31</v>
      </c>
      <c r="I26">
        <v>60</v>
      </c>
      <c r="J26">
        <v>0</v>
      </c>
      <c r="O26">
        <f t="shared" si="2"/>
        <v>539848.98</v>
      </c>
      <c r="P26">
        <f t="shared" si="3"/>
        <v>539848.98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  <c r="U26">
        <f t="shared" si="8"/>
        <v>0</v>
      </c>
      <c r="V26">
        <f t="shared" si="9"/>
        <v>0</v>
      </c>
      <c r="W26">
        <f t="shared" si="10"/>
        <v>0</v>
      </c>
      <c r="X26">
        <f t="shared" si="11"/>
        <v>0</v>
      </c>
      <c r="Y26">
        <f t="shared" si="12"/>
        <v>0</v>
      </c>
      <c r="AA26">
        <v>0</v>
      </c>
      <c r="AB26">
        <f t="shared" si="13"/>
        <v>8997.483</v>
      </c>
      <c r="AC26">
        <f aca="true" t="shared" si="28" ref="AC26:AF27">(ES26)</f>
        <v>8997.483</v>
      </c>
      <c r="AD26">
        <f t="shared" si="28"/>
        <v>0</v>
      </c>
      <c r="AE26">
        <f t="shared" si="28"/>
        <v>0</v>
      </c>
      <c r="AF26">
        <f t="shared" si="28"/>
        <v>0</v>
      </c>
      <c r="AG26">
        <f>(AP26)</f>
        <v>0</v>
      </c>
      <c r="AH26">
        <f>(EW26)</f>
        <v>0</v>
      </c>
      <c r="AI26">
        <f>(EX26)</f>
        <v>0</v>
      </c>
      <c r="AJ26">
        <f>(AS26)</f>
        <v>0</v>
      </c>
      <c r="AK26">
        <v>8997.483</v>
      </c>
      <c r="AL26">
        <v>8997.483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f t="shared" si="14"/>
        <v>0</v>
      </c>
      <c r="AU26">
        <f t="shared" si="15"/>
        <v>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3</v>
      </c>
      <c r="BI26">
        <v>4</v>
      </c>
      <c r="BM26">
        <v>0</v>
      </c>
      <c r="BN26">
        <v>0</v>
      </c>
      <c r="BP26">
        <v>0</v>
      </c>
      <c r="BQ26">
        <v>1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0</v>
      </c>
      <c r="CA26">
        <v>0</v>
      </c>
      <c r="CF26">
        <v>0</v>
      </c>
      <c r="CG26">
        <v>0</v>
      </c>
      <c r="CM26">
        <v>1</v>
      </c>
      <c r="CO26">
        <v>0</v>
      </c>
      <c r="CP26">
        <f t="shared" si="16"/>
        <v>539848.98</v>
      </c>
      <c r="CQ26">
        <f t="shared" si="17"/>
        <v>8997.483</v>
      </c>
      <c r="CR26">
        <f t="shared" si="18"/>
        <v>0</v>
      </c>
      <c r="CS26">
        <f t="shared" si="19"/>
        <v>0</v>
      </c>
      <c r="CT26">
        <f t="shared" si="20"/>
        <v>0</v>
      </c>
      <c r="CU26">
        <f t="shared" si="21"/>
        <v>0</v>
      </c>
      <c r="CV26">
        <f t="shared" si="22"/>
        <v>0</v>
      </c>
      <c r="CW26">
        <f t="shared" si="23"/>
        <v>0</v>
      </c>
      <c r="CX26">
        <f t="shared" si="24"/>
        <v>0</v>
      </c>
      <c r="CY26">
        <f t="shared" si="25"/>
        <v>0</v>
      </c>
      <c r="CZ26">
        <f t="shared" si="26"/>
        <v>0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1013</v>
      </c>
      <c r="DV26" t="s">
        <v>31</v>
      </c>
      <c r="DW26" t="s">
        <v>32</v>
      </c>
      <c r="DX26">
        <v>1</v>
      </c>
      <c r="EE26">
        <v>5677314</v>
      </c>
      <c r="EF26">
        <v>1</v>
      </c>
      <c r="EG26" t="s">
        <v>33</v>
      </c>
      <c r="EH26">
        <v>0</v>
      </c>
      <c r="EJ26">
        <v>4</v>
      </c>
      <c r="EK26">
        <v>0</v>
      </c>
      <c r="EL26" t="s">
        <v>33</v>
      </c>
      <c r="EM26" t="s">
        <v>34</v>
      </c>
      <c r="EQ26">
        <v>0</v>
      </c>
      <c r="ER26">
        <v>0</v>
      </c>
      <c r="ES26">
        <v>8997.483</v>
      </c>
      <c r="ET26">
        <v>0</v>
      </c>
      <c r="EU26">
        <v>0</v>
      </c>
      <c r="EV26">
        <v>0</v>
      </c>
      <c r="EW26">
        <v>0</v>
      </c>
      <c r="EX26">
        <v>0</v>
      </c>
    </row>
    <row r="27" spans="1:154" ht="12.75">
      <c r="A27">
        <v>17</v>
      </c>
      <c r="B27">
        <v>1</v>
      </c>
      <c r="C27">
        <f>ROW(SmtRes!A18)</f>
        <v>18</v>
      </c>
      <c r="D27">
        <f>ROW(EtalonRes!A18)</f>
        <v>18</v>
      </c>
      <c r="E27" t="s">
        <v>35</v>
      </c>
      <c r="F27" t="s">
        <v>36</v>
      </c>
      <c r="G27" t="s">
        <v>37</v>
      </c>
      <c r="H27" t="s">
        <v>18</v>
      </c>
      <c r="I27">
        <v>0.1</v>
      </c>
      <c r="J27">
        <v>0</v>
      </c>
      <c r="O27">
        <f t="shared" si="2"/>
        <v>4285.05</v>
      </c>
      <c r="P27">
        <f t="shared" si="3"/>
        <v>795</v>
      </c>
      <c r="Q27">
        <f t="shared" si="4"/>
        <v>1311.52</v>
      </c>
      <c r="R27">
        <f t="shared" si="5"/>
        <v>371.52</v>
      </c>
      <c r="S27">
        <f t="shared" si="6"/>
        <v>2178.53</v>
      </c>
      <c r="T27">
        <f t="shared" si="7"/>
        <v>0</v>
      </c>
      <c r="U27">
        <f t="shared" si="8"/>
        <v>22.491</v>
      </c>
      <c r="V27">
        <f t="shared" si="9"/>
        <v>2.6910000000000003</v>
      </c>
      <c r="W27">
        <f t="shared" si="10"/>
        <v>0</v>
      </c>
      <c r="X27">
        <f t="shared" si="11"/>
        <v>3715.42</v>
      </c>
      <c r="Y27">
        <f t="shared" si="12"/>
        <v>2550.05</v>
      </c>
      <c r="AA27">
        <v>0</v>
      </c>
      <c r="AB27">
        <f t="shared" si="13"/>
        <v>6063.36</v>
      </c>
      <c r="AC27">
        <f t="shared" si="28"/>
        <v>1589.99</v>
      </c>
      <c r="AD27">
        <f t="shared" si="28"/>
        <v>2406.45</v>
      </c>
      <c r="AE27">
        <f t="shared" si="28"/>
        <v>352.49</v>
      </c>
      <c r="AF27">
        <f t="shared" si="28"/>
        <v>2066.92</v>
      </c>
      <c r="AG27">
        <f>(AP27)</f>
        <v>0</v>
      </c>
      <c r="AH27">
        <f>(EW27)</f>
        <v>224.91</v>
      </c>
      <c r="AI27">
        <f>(EX27)</f>
        <v>26.91</v>
      </c>
      <c r="AJ27">
        <f>(AS27)</f>
        <v>0</v>
      </c>
      <c r="AK27">
        <v>6063.36</v>
      </c>
      <c r="AL27">
        <v>1589.99</v>
      </c>
      <c r="AM27">
        <v>2406.45</v>
      </c>
      <c r="AN27">
        <v>352.49</v>
      </c>
      <c r="AO27">
        <v>2066.92</v>
      </c>
      <c r="AP27">
        <v>0</v>
      </c>
      <c r="AQ27">
        <v>224.91</v>
      </c>
      <c r="AR27">
        <v>26.91</v>
      </c>
      <c r="AS27">
        <v>0</v>
      </c>
      <c r="AT27">
        <f t="shared" si="14"/>
        <v>145.7</v>
      </c>
      <c r="AU27">
        <f t="shared" si="15"/>
        <v>100</v>
      </c>
      <c r="AV27">
        <v>1</v>
      </c>
      <c r="AW27">
        <v>1</v>
      </c>
      <c r="AX27">
        <v>1</v>
      </c>
      <c r="AY27">
        <v>1</v>
      </c>
      <c r="AZ27">
        <v>8.63</v>
      </c>
      <c r="BA27">
        <v>10.54</v>
      </c>
      <c r="BB27">
        <v>5.45</v>
      </c>
      <c r="BC27">
        <v>5</v>
      </c>
      <c r="BH27">
        <v>0</v>
      </c>
      <c r="BI27">
        <v>1</v>
      </c>
      <c r="BJ27" t="s">
        <v>38</v>
      </c>
      <c r="BM27">
        <v>12</v>
      </c>
      <c r="BN27">
        <v>0</v>
      </c>
      <c r="BO27" t="s">
        <v>36</v>
      </c>
      <c r="BP27">
        <v>1</v>
      </c>
      <c r="BQ27">
        <v>2</v>
      </c>
      <c r="BR27">
        <v>0</v>
      </c>
      <c r="BS27">
        <v>10.54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145.7</v>
      </c>
      <c r="CA27">
        <v>100</v>
      </c>
      <c r="CF27">
        <v>0</v>
      </c>
      <c r="CG27">
        <v>0</v>
      </c>
      <c r="CM27">
        <v>0</v>
      </c>
      <c r="CO27">
        <v>0</v>
      </c>
      <c r="CP27">
        <f t="shared" si="16"/>
        <v>4285.05</v>
      </c>
      <c r="CQ27">
        <f t="shared" si="17"/>
        <v>7949.95</v>
      </c>
      <c r="CR27">
        <f t="shared" si="18"/>
        <v>13115.1525</v>
      </c>
      <c r="CS27">
        <f t="shared" si="19"/>
        <v>3715.2446</v>
      </c>
      <c r="CT27">
        <f t="shared" si="20"/>
        <v>21785.336799999997</v>
      </c>
      <c r="CU27">
        <f t="shared" si="21"/>
        <v>0</v>
      </c>
      <c r="CV27">
        <f t="shared" si="22"/>
        <v>224.91</v>
      </c>
      <c r="CW27">
        <f t="shared" si="23"/>
        <v>26.91</v>
      </c>
      <c r="CX27">
        <f t="shared" si="24"/>
        <v>0</v>
      </c>
      <c r="CY27">
        <f t="shared" si="25"/>
        <v>3715.42285</v>
      </c>
      <c r="CZ27">
        <f t="shared" si="26"/>
        <v>2550.05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1010</v>
      </c>
      <c r="DV27" t="s">
        <v>18</v>
      </c>
      <c r="DW27" t="s">
        <v>39</v>
      </c>
      <c r="DX27">
        <v>100</v>
      </c>
      <c r="EE27">
        <v>5677326</v>
      </c>
      <c r="EF27">
        <v>2</v>
      </c>
      <c r="EG27" t="s">
        <v>20</v>
      </c>
      <c r="EH27">
        <v>0</v>
      </c>
      <c r="EJ27">
        <v>1</v>
      </c>
      <c r="EK27">
        <v>12</v>
      </c>
      <c r="EL27" t="s">
        <v>21</v>
      </c>
      <c r="EM27" t="s">
        <v>22</v>
      </c>
      <c r="EP27" t="s">
        <v>40</v>
      </c>
      <c r="EQ27">
        <v>0</v>
      </c>
      <c r="ER27">
        <v>6063.36</v>
      </c>
      <c r="ES27">
        <v>1589.99</v>
      </c>
      <c r="ET27">
        <v>2406.45</v>
      </c>
      <c r="EU27">
        <v>352.49</v>
      </c>
      <c r="EV27">
        <v>2066.92</v>
      </c>
      <c r="EW27">
        <v>224.91</v>
      </c>
      <c r="EX27">
        <v>26.91</v>
      </c>
    </row>
    <row r="28" spans="1:154" ht="12.75">
      <c r="A28">
        <v>18</v>
      </c>
      <c r="B28">
        <v>1</v>
      </c>
      <c r="C28">
        <v>18</v>
      </c>
      <c r="E28" t="s">
        <v>41</v>
      </c>
      <c r="F28" t="s">
        <v>25</v>
      </c>
      <c r="G28" t="s">
        <v>42</v>
      </c>
      <c r="H28" t="s">
        <v>27</v>
      </c>
      <c r="I28">
        <f>I27*J28</f>
        <v>10</v>
      </c>
      <c r="J28">
        <v>100</v>
      </c>
      <c r="O28">
        <f t="shared" si="2"/>
        <v>144640</v>
      </c>
      <c r="P28">
        <f t="shared" si="3"/>
        <v>144640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2"/>
        <v>0</v>
      </c>
      <c r="AA28">
        <v>0</v>
      </c>
      <c r="AB28">
        <f t="shared" si="13"/>
        <v>14464</v>
      </c>
      <c r="AC28">
        <f aca="true" t="shared" si="29" ref="AC28:AJ28">AL28</f>
        <v>14464</v>
      </c>
      <c r="AD28">
        <f t="shared" si="29"/>
        <v>0</v>
      </c>
      <c r="AE28">
        <f t="shared" si="29"/>
        <v>0</v>
      </c>
      <c r="AF28">
        <f t="shared" si="29"/>
        <v>0</v>
      </c>
      <c r="AG28">
        <f t="shared" si="29"/>
        <v>0</v>
      </c>
      <c r="AH28">
        <f t="shared" si="29"/>
        <v>0</v>
      </c>
      <c r="AI28">
        <f t="shared" si="29"/>
        <v>0</v>
      </c>
      <c r="AJ28">
        <f t="shared" si="29"/>
        <v>0</v>
      </c>
      <c r="AK28">
        <v>14464</v>
      </c>
      <c r="AL28">
        <v>14464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f t="shared" si="14"/>
        <v>145.7</v>
      </c>
      <c r="AU28">
        <f t="shared" si="15"/>
        <v>100</v>
      </c>
      <c r="AV28">
        <v>1</v>
      </c>
      <c r="AW28">
        <v>1</v>
      </c>
      <c r="AX28">
        <v>1</v>
      </c>
      <c r="AY28">
        <v>1</v>
      </c>
      <c r="AZ28">
        <v>8.63</v>
      </c>
      <c r="BA28">
        <v>10.54</v>
      </c>
      <c r="BB28">
        <v>5.45</v>
      </c>
      <c r="BC28">
        <v>1</v>
      </c>
      <c r="BH28">
        <v>3</v>
      </c>
      <c r="BI28">
        <v>1</v>
      </c>
      <c r="BJ28" t="s">
        <v>28</v>
      </c>
      <c r="BM28">
        <v>12</v>
      </c>
      <c r="BN28">
        <v>0</v>
      </c>
      <c r="BO28" t="s">
        <v>36</v>
      </c>
      <c r="BP28">
        <v>1</v>
      </c>
      <c r="BQ28">
        <v>2</v>
      </c>
      <c r="BR28">
        <v>0</v>
      </c>
      <c r="BS28">
        <v>10.54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145.7</v>
      </c>
      <c r="CA28">
        <v>100</v>
      </c>
      <c r="CF28">
        <v>0</v>
      </c>
      <c r="CG28">
        <v>0</v>
      </c>
      <c r="CM28">
        <v>0</v>
      </c>
      <c r="CO28">
        <v>0</v>
      </c>
      <c r="CP28">
        <f t="shared" si="16"/>
        <v>144640</v>
      </c>
      <c r="CQ28">
        <f t="shared" si="17"/>
        <v>14464</v>
      </c>
      <c r="CR28">
        <f t="shared" si="18"/>
        <v>0</v>
      </c>
      <c r="CS28">
        <f t="shared" si="19"/>
        <v>0</v>
      </c>
      <c r="CT28">
        <f t="shared" si="20"/>
        <v>0</v>
      </c>
      <c r="CU28">
        <f t="shared" si="21"/>
        <v>0</v>
      </c>
      <c r="CV28">
        <f t="shared" si="22"/>
        <v>0</v>
      </c>
      <c r="CW28">
        <f t="shared" si="23"/>
        <v>0</v>
      </c>
      <c r="CX28">
        <f t="shared" si="24"/>
        <v>0</v>
      </c>
      <c r="CY28">
        <f t="shared" si="25"/>
        <v>0</v>
      </c>
      <c r="CZ28">
        <f t="shared" si="26"/>
        <v>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27</v>
      </c>
      <c r="DW28" t="s">
        <v>27</v>
      </c>
      <c r="DX28">
        <v>1</v>
      </c>
      <c r="EE28">
        <v>5677326</v>
      </c>
      <c r="EF28">
        <v>2</v>
      </c>
      <c r="EG28" t="s">
        <v>20</v>
      </c>
      <c r="EH28">
        <v>0</v>
      </c>
      <c r="EJ28">
        <v>1</v>
      </c>
      <c r="EK28">
        <v>12</v>
      </c>
      <c r="EL28" t="s">
        <v>21</v>
      </c>
      <c r="EM28" t="s">
        <v>22</v>
      </c>
      <c r="EQ28">
        <v>0</v>
      </c>
      <c r="ER28">
        <v>0</v>
      </c>
      <c r="ES28">
        <v>14464</v>
      </c>
      <c r="ET28">
        <v>0</v>
      </c>
      <c r="EU28">
        <v>0</v>
      </c>
      <c r="EV28">
        <v>0</v>
      </c>
      <c r="EW28">
        <v>0</v>
      </c>
      <c r="EX28">
        <v>0</v>
      </c>
    </row>
    <row r="29" spans="1:154" ht="12.75">
      <c r="A29">
        <v>17</v>
      </c>
      <c r="B29">
        <v>1</v>
      </c>
      <c r="E29" t="s">
        <v>43</v>
      </c>
      <c r="G29" t="s">
        <v>30</v>
      </c>
      <c r="H29" t="s">
        <v>31</v>
      </c>
      <c r="I29">
        <v>10</v>
      </c>
      <c r="J29">
        <v>0</v>
      </c>
      <c r="O29">
        <f t="shared" si="2"/>
        <v>154650.7</v>
      </c>
      <c r="P29">
        <f t="shared" si="3"/>
        <v>154650.7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  <c r="AA29">
        <v>0</v>
      </c>
      <c r="AB29">
        <f t="shared" si="13"/>
        <v>15465.07</v>
      </c>
      <c r="AC29">
        <f aca="true" t="shared" si="30" ref="AC29:AF30">(ES29)</f>
        <v>15465.07</v>
      </c>
      <c r="AD29">
        <f t="shared" si="30"/>
        <v>0</v>
      </c>
      <c r="AE29">
        <f t="shared" si="30"/>
        <v>0</v>
      </c>
      <c r="AF29">
        <f t="shared" si="30"/>
        <v>0</v>
      </c>
      <c r="AG29">
        <f>(AP29)</f>
        <v>0</v>
      </c>
      <c r="AH29">
        <f>(EW29)</f>
        <v>0</v>
      </c>
      <c r="AI29">
        <f>(EX29)</f>
        <v>0</v>
      </c>
      <c r="AJ29">
        <f>(AS29)</f>
        <v>0</v>
      </c>
      <c r="AK29">
        <v>15465.07</v>
      </c>
      <c r="AL29">
        <v>15465.07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f t="shared" si="14"/>
        <v>0</v>
      </c>
      <c r="AU29">
        <f t="shared" si="15"/>
        <v>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3</v>
      </c>
      <c r="BI29">
        <v>4</v>
      </c>
      <c r="BM29">
        <v>0</v>
      </c>
      <c r="BN29">
        <v>0</v>
      </c>
      <c r="BP29">
        <v>0</v>
      </c>
      <c r="BQ29">
        <v>1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16"/>
        <v>154650.7</v>
      </c>
      <c r="CQ29">
        <f t="shared" si="17"/>
        <v>15465.07</v>
      </c>
      <c r="CR29">
        <f t="shared" si="18"/>
        <v>0</v>
      </c>
      <c r="CS29">
        <f t="shared" si="19"/>
        <v>0</v>
      </c>
      <c r="CT29">
        <f t="shared" si="20"/>
        <v>0</v>
      </c>
      <c r="CU29">
        <f t="shared" si="21"/>
        <v>0</v>
      </c>
      <c r="CV29">
        <f t="shared" si="22"/>
        <v>0</v>
      </c>
      <c r="CW29">
        <f t="shared" si="23"/>
        <v>0</v>
      </c>
      <c r="CX29">
        <f t="shared" si="24"/>
        <v>0</v>
      </c>
      <c r="CY29">
        <f t="shared" si="25"/>
        <v>0</v>
      </c>
      <c r="CZ29">
        <f t="shared" si="26"/>
        <v>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31</v>
      </c>
      <c r="DW29" t="s">
        <v>32</v>
      </c>
      <c r="DX29">
        <v>1</v>
      </c>
      <c r="EE29">
        <v>5677314</v>
      </c>
      <c r="EF29">
        <v>1</v>
      </c>
      <c r="EG29" t="s">
        <v>33</v>
      </c>
      <c r="EH29">
        <v>0</v>
      </c>
      <c r="EJ29">
        <v>4</v>
      </c>
      <c r="EK29">
        <v>0</v>
      </c>
      <c r="EL29" t="s">
        <v>33</v>
      </c>
      <c r="EM29" t="s">
        <v>34</v>
      </c>
      <c r="EQ29">
        <v>0</v>
      </c>
      <c r="ER29">
        <v>0</v>
      </c>
      <c r="ES29">
        <v>15465.07</v>
      </c>
      <c r="ET29">
        <v>0</v>
      </c>
      <c r="EU29">
        <v>0</v>
      </c>
      <c r="EV29">
        <v>0</v>
      </c>
      <c r="EW29">
        <v>0</v>
      </c>
      <c r="EX29">
        <v>0</v>
      </c>
    </row>
    <row r="30" spans="1:154" ht="12.75">
      <c r="A30">
        <v>17</v>
      </c>
      <c r="B30">
        <v>1</v>
      </c>
      <c r="C30">
        <f>ROW(SmtRes!A31)</f>
        <v>31</v>
      </c>
      <c r="D30">
        <f>ROW(EtalonRes!A30)</f>
        <v>30</v>
      </c>
      <c r="E30" t="s">
        <v>44</v>
      </c>
      <c r="F30" t="s">
        <v>45</v>
      </c>
      <c r="G30" t="s">
        <v>418</v>
      </c>
      <c r="H30" t="s">
        <v>46</v>
      </c>
      <c r="I30">
        <v>106.9</v>
      </c>
      <c r="J30">
        <v>0</v>
      </c>
      <c r="O30">
        <f t="shared" si="2"/>
        <v>420193.34</v>
      </c>
      <c r="P30">
        <f t="shared" si="3"/>
        <v>235333.67</v>
      </c>
      <c r="Q30">
        <f t="shared" si="4"/>
        <v>29777.1</v>
      </c>
      <c r="R30">
        <f t="shared" si="5"/>
        <v>0</v>
      </c>
      <c r="S30">
        <f t="shared" si="6"/>
        <v>155082.57</v>
      </c>
      <c r="T30">
        <f t="shared" si="7"/>
        <v>0</v>
      </c>
      <c r="U30">
        <f t="shared" si="8"/>
        <v>1582.1200000000001</v>
      </c>
      <c r="V30">
        <f t="shared" si="9"/>
        <v>54.519000000000005</v>
      </c>
      <c r="W30">
        <f t="shared" si="10"/>
        <v>0</v>
      </c>
      <c r="X30">
        <f t="shared" si="11"/>
        <v>145777.62</v>
      </c>
      <c r="Y30">
        <f t="shared" si="12"/>
        <v>108557.8</v>
      </c>
      <c r="AA30">
        <v>0</v>
      </c>
      <c r="AB30">
        <f t="shared" si="13"/>
        <v>945.11</v>
      </c>
      <c r="AC30">
        <f t="shared" si="30"/>
        <v>746.25</v>
      </c>
      <c r="AD30">
        <f t="shared" si="30"/>
        <v>61.22</v>
      </c>
      <c r="AE30">
        <f t="shared" si="30"/>
        <v>0</v>
      </c>
      <c r="AF30">
        <f t="shared" si="30"/>
        <v>137.64</v>
      </c>
      <c r="AG30">
        <f>(AP30)</f>
        <v>0</v>
      </c>
      <c r="AH30">
        <f>(EW30)</f>
        <v>14.8</v>
      </c>
      <c r="AI30">
        <f>(EX30)</f>
        <v>0.51</v>
      </c>
      <c r="AJ30">
        <f>(AS30)</f>
        <v>0</v>
      </c>
      <c r="AK30">
        <v>945.11</v>
      </c>
      <c r="AL30">
        <v>746.25</v>
      </c>
      <c r="AM30">
        <v>61.22</v>
      </c>
      <c r="AN30">
        <v>0</v>
      </c>
      <c r="AO30">
        <v>137.64</v>
      </c>
      <c r="AP30">
        <v>0</v>
      </c>
      <c r="AQ30">
        <v>14.8</v>
      </c>
      <c r="AR30">
        <v>0.51</v>
      </c>
      <c r="AS30">
        <v>0</v>
      </c>
      <c r="AT30">
        <f t="shared" si="14"/>
        <v>94</v>
      </c>
      <c r="AU30">
        <f t="shared" si="15"/>
        <v>70</v>
      </c>
      <c r="AV30">
        <v>1</v>
      </c>
      <c r="AW30">
        <v>1</v>
      </c>
      <c r="AX30">
        <v>1</v>
      </c>
      <c r="AY30">
        <v>1</v>
      </c>
      <c r="AZ30">
        <v>5.35</v>
      </c>
      <c r="BA30">
        <v>10.54</v>
      </c>
      <c r="BB30">
        <v>4.55</v>
      </c>
      <c r="BC30">
        <v>2.95</v>
      </c>
      <c r="BH30">
        <v>0</v>
      </c>
      <c r="BI30">
        <v>1</v>
      </c>
      <c r="BJ30" t="s">
        <v>47</v>
      </c>
      <c r="BM30">
        <v>29</v>
      </c>
      <c r="BN30">
        <v>0</v>
      </c>
      <c r="BO30" t="s">
        <v>45</v>
      </c>
      <c r="BP30">
        <v>1</v>
      </c>
      <c r="BQ30">
        <v>2</v>
      </c>
      <c r="BR30">
        <v>0</v>
      </c>
      <c r="BS30">
        <v>10.54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94</v>
      </c>
      <c r="CA30">
        <v>70</v>
      </c>
      <c r="CF30">
        <v>0</v>
      </c>
      <c r="CG30">
        <v>0</v>
      </c>
      <c r="CM30">
        <v>1</v>
      </c>
      <c r="CO30">
        <v>0</v>
      </c>
      <c r="CP30">
        <f t="shared" si="16"/>
        <v>420193.34</v>
      </c>
      <c r="CQ30">
        <f t="shared" si="17"/>
        <v>2201.4375</v>
      </c>
      <c r="CR30">
        <f t="shared" si="18"/>
        <v>278.551</v>
      </c>
      <c r="CS30">
        <f t="shared" si="19"/>
        <v>0</v>
      </c>
      <c r="CT30">
        <f t="shared" si="20"/>
        <v>1450.7255999999998</v>
      </c>
      <c r="CU30">
        <f t="shared" si="21"/>
        <v>0</v>
      </c>
      <c r="CV30">
        <f t="shared" si="22"/>
        <v>14.8</v>
      </c>
      <c r="CW30">
        <f t="shared" si="23"/>
        <v>0.51</v>
      </c>
      <c r="CX30">
        <f t="shared" si="24"/>
        <v>0</v>
      </c>
      <c r="CY30">
        <f t="shared" si="25"/>
        <v>145777.6158</v>
      </c>
      <c r="CZ30">
        <f t="shared" si="26"/>
        <v>108557.799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1007</v>
      </c>
      <c r="DV30" t="s">
        <v>46</v>
      </c>
      <c r="DW30" t="s">
        <v>48</v>
      </c>
      <c r="DX30">
        <v>1</v>
      </c>
      <c r="EE30">
        <v>5677341</v>
      </c>
      <c r="EF30">
        <v>2</v>
      </c>
      <c r="EG30" t="s">
        <v>20</v>
      </c>
      <c r="EH30">
        <v>0</v>
      </c>
      <c r="EJ30">
        <v>1</v>
      </c>
      <c r="EK30">
        <v>29</v>
      </c>
      <c r="EL30" t="s">
        <v>49</v>
      </c>
      <c r="EM30" t="s">
        <v>50</v>
      </c>
      <c r="EP30" t="s">
        <v>51</v>
      </c>
      <c r="EQ30">
        <v>0</v>
      </c>
      <c r="ER30">
        <v>945.11</v>
      </c>
      <c r="ES30">
        <v>746.25</v>
      </c>
      <c r="ET30">
        <v>61.22</v>
      </c>
      <c r="EU30">
        <v>0</v>
      </c>
      <c r="EV30">
        <v>137.64</v>
      </c>
      <c r="EW30">
        <v>14.8</v>
      </c>
      <c r="EX30">
        <v>0.51</v>
      </c>
    </row>
    <row r="31" spans="1:154" ht="12.75">
      <c r="A31">
        <v>18</v>
      </c>
      <c r="B31">
        <v>1</v>
      </c>
      <c r="C31">
        <v>30</v>
      </c>
      <c r="E31" t="s">
        <v>52</v>
      </c>
      <c r="F31" t="s">
        <v>53</v>
      </c>
      <c r="G31" t="s">
        <v>54</v>
      </c>
      <c r="H31" t="s">
        <v>55</v>
      </c>
      <c r="I31">
        <f>I30*J31</f>
        <v>-132.556</v>
      </c>
      <c r="J31">
        <v>-1.24</v>
      </c>
      <c r="O31">
        <f t="shared" si="2"/>
        <v>-192704.61</v>
      </c>
      <c r="P31">
        <f t="shared" si="3"/>
        <v>-192704.61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  <c r="V31">
        <f t="shared" si="9"/>
        <v>0</v>
      </c>
      <c r="W31">
        <f t="shared" si="10"/>
        <v>0</v>
      </c>
      <c r="X31">
        <f t="shared" si="11"/>
        <v>0</v>
      </c>
      <c r="Y31">
        <f t="shared" si="12"/>
        <v>0</v>
      </c>
      <c r="AA31">
        <v>0</v>
      </c>
      <c r="AB31">
        <f t="shared" si="13"/>
        <v>492.8</v>
      </c>
      <c r="AC31">
        <f aca="true" t="shared" si="31" ref="AC31:AJ32">AL31</f>
        <v>492.8</v>
      </c>
      <c r="AD31">
        <f t="shared" si="31"/>
        <v>0</v>
      </c>
      <c r="AE31">
        <f t="shared" si="31"/>
        <v>0</v>
      </c>
      <c r="AF31">
        <f t="shared" si="31"/>
        <v>0</v>
      </c>
      <c r="AG31">
        <f t="shared" si="31"/>
        <v>0</v>
      </c>
      <c r="AH31">
        <f t="shared" si="31"/>
        <v>0</v>
      </c>
      <c r="AI31">
        <f t="shared" si="31"/>
        <v>0</v>
      </c>
      <c r="AJ31">
        <f t="shared" si="31"/>
        <v>0</v>
      </c>
      <c r="AK31">
        <v>492.8</v>
      </c>
      <c r="AL31">
        <v>492.8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f t="shared" si="14"/>
        <v>94</v>
      </c>
      <c r="AU31">
        <f t="shared" si="15"/>
        <v>70</v>
      </c>
      <c r="AV31">
        <v>1</v>
      </c>
      <c r="AW31">
        <v>1</v>
      </c>
      <c r="AX31">
        <v>1</v>
      </c>
      <c r="AY31">
        <v>1</v>
      </c>
      <c r="AZ31">
        <v>5.35</v>
      </c>
      <c r="BA31">
        <v>10.54</v>
      </c>
      <c r="BB31">
        <v>4.55</v>
      </c>
      <c r="BC31">
        <v>2.95</v>
      </c>
      <c r="BH31">
        <v>3</v>
      </c>
      <c r="BI31">
        <v>1</v>
      </c>
      <c r="BJ31" t="s">
        <v>56</v>
      </c>
      <c r="BM31">
        <v>29</v>
      </c>
      <c r="BN31">
        <v>0</v>
      </c>
      <c r="BO31" t="s">
        <v>45</v>
      </c>
      <c r="BP31">
        <v>1</v>
      </c>
      <c r="BQ31">
        <v>2</v>
      </c>
      <c r="BR31">
        <v>0</v>
      </c>
      <c r="BS31">
        <v>10.54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94</v>
      </c>
      <c r="CA31">
        <v>70</v>
      </c>
      <c r="CF31">
        <v>0</v>
      </c>
      <c r="CG31">
        <v>0</v>
      </c>
      <c r="CM31">
        <v>1</v>
      </c>
      <c r="CO31">
        <v>0</v>
      </c>
      <c r="CP31">
        <f t="shared" si="16"/>
        <v>-192704.61</v>
      </c>
      <c r="CQ31">
        <f t="shared" si="17"/>
        <v>1453.7600000000002</v>
      </c>
      <c r="CR31">
        <f t="shared" si="18"/>
        <v>0</v>
      </c>
      <c r="CS31">
        <f t="shared" si="19"/>
        <v>0</v>
      </c>
      <c r="CT31">
        <f t="shared" si="20"/>
        <v>0</v>
      </c>
      <c r="CU31">
        <f t="shared" si="21"/>
        <v>0</v>
      </c>
      <c r="CV31">
        <f t="shared" si="22"/>
        <v>0</v>
      </c>
      <c r="CW31">
        <f t="shared" si="23"/>
        <v>0</v>
      </c>
      <c r="CX31">
        <f t="shared" si="24"/>
        <v>0</v>
      </c>
      <c r="CY31">
        <f t="shared" si="25"/>
        <v>0</v>
      </c>
      <c r="CZ31">
        <f t="shared" si="26"/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1007</v>
      </c>
      <c r="DV31" t="s">
        <v>55</v>
      </c>
      <c r="DW31" t="s">
        <v>55</v>
      </c>
      <c r="DX31">
        <v>1</v>
      </c>
      <c r="EE31">
        <v>5677341</v>
      </c>
      <c r="EF31">
        <v>2</v>
      </c>
      <c r="EG31" t="s">
        <v>20</v>
      </c>
      <c r="EH31">
        <v>0</v>
      </c>
      <c r="EJ31">
        <v>1</v>
      </c>
      <c r="EK31">
        <v>29</v>
      </c>
      <c r="EL31" t="s">
        <v>49</v>
      </c>
      <c r="EM31" t="s">
        <v>50</v>
      </c>
      <c r="EQ31">
        <v>0</v>
      </c>
      <c r="ER31">
        <v>492.8</v>
      </c>
      <c r="ES31">
        <v>492.8</v>
      </c>
      <c r="ET31">
        <v>0</v>
      </c>
      <c r="EU31">
        <v>0</v>
      </c>
      <c r="EV31">
        <v>0</v>
      </c>
      <c r="EW31">
        <v>0</v>
      </c>
      <c r="EX31">
        <v>0</v>
      </c>
    </row>
    <row r="32" spans="1:154" ht="12.75">
      <c r="A32">
        <v>18</v>
      </c>
      <c r="B32">
        <v>1</v>
      </c>
      <c r="C32">
        <v>31</v>
      </c>
      <c r="E32" t="s">
        <v>57</v>
      </c>
      <c r="F32" t="s">
        <v>25</v>
      </c>
      <c r="G32" t="s">
        <v>419</v>
      </c>
      <c r="H32" t="s">
        <v>55</v>
      </c>
      <c r="I32">
        <f>I30*J32</f>
        <v>132.556</v>
      </c>
      <c r="J32">
        <v>1.24</v>
      </c>
      <c r="O32">
        <f t="shared" si="2"/>
        <v>277468.87</v>
      </c>
      <c r="P32">
        <f t="shared" si="3"/>
        <v>277468.87</v>
      </c>
      <c r="Q32">
        <f t="shared" si="4"/>
        <v>0</v>
      </c>
      <c r="R32">
        <f t="shared" si="5"/>
        <v>0</v>
      </c>
      <c r="S32">
        <f t="shared" si="6"/>
        <v>0</v>
      </c>
      <c r="T32">
        <f t="shared" si="7"/>
        <v>0</v>
      </c>
      <c r="U32">
        <f t="shared" si="8"/>
        <v>0</v>
      </c>
      <c r="V32">
        <f t="shared" si="9"/>
        <v>0</v>
      </c>
      <c r="W32">
        <f t="shared" si="10"/>
        <v>0</v>
      </c>
      <c r="X32">
        <f t="shared" si="11"/>
        <v>0</v>
      </c>
      <c r="Y32">
        <f t="shared" si="12"/>
        <v>0</v>
      </c>
      <c r="AA32">
        <v>0</v>
      </c>
      <c r="AB32">
        <f t="shared" si="13"/>
        <v>2093.22</v>
      </c>
      <c r="AC32">
        <f t="shared" si="31"/>
        <v>2093.22</v>
      </c>
      <c r="AD32">
        <f t="shared" si="31"/>
        <v>0</v>
      </c>
      <c r="AE32">
        <f t="shared" si="31"/>
        <v>0</v>
      </c>
      <c r="AF32">
        <f t="shared" si="31"/>
        <v>0</v>
      </c>
      <c r="AG32">
        <f t="shared" si="31"/>
        <v>0</v>
      </c>
      <c r="AH32">
        <f t="shared" si="31"/>
        <v>0</v>
      </c>
      <c r="AI32">
        <f t="shared" si="31"/>
        <v>0</v>
      </c>
      <c r="AJ32">
        <f t="shared" si="31"/>
        <v>0</v>
      </c>
      <c r="AK32">
        <v>2093.22</v>
      </c>
      <c r="AL32">
        <v>2093.22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f t="shared" si="14"/>
        <v>94</v>
      </c>
      <c r="AU32">
        <f t="shared" si="15"/>
        <v>70</v>
      </c>
      <c r="AV32">
        <v>1</v>
      </c>
      <c r="AW32">
        <v>1</v>
      </c>
      <c r="AX32">
        <v>1</v>
      </c>
      <c r="AY32">
        <v>1</v>
      </c>
      <c r="AZ32">
        <v>5.35</v>
      </c>
      <c r="BA32">
        <v>10.54</v>
      </c>
      <c r="BB32">
        <v>4.55</v>
      </c>
      <c r="BC32">
        <v>1</v>
      </c>
      <c r="BH32">
        <v>3</v>
      </c>
      <c r="BI32">
        <v>1</v>
      </c>
      <c r="BM32">
        <v>29</v>
      </c>
      <c r="BN32">
        <v>0</v>
      </c>
      <c r="BO32" t="s">
        <v>45</v>
      </c>
      <c r="BP32">
        <v>1</v>
      </c>
      <c r="BQ32">
        <v>2</v>
      </c>
      <c r="BR32">
        <v>0</v>
      </c>
      <c r="BS32">
        <v>10.54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94</v>
      </c>
      <c r="CA32">
        <v>70</v>
      </c>
      <c r="CF32">
        <v>0</v>
      </c>
      <c r="CG32">
        <v>0</v>
      </c>
      <c r="CM32">
        <v>1</v>
      </c>
      <c r="CO32">
        <v>0</v>
      </c>
      <c r="CP32">
        <f t="shared" si="16"/>
        <v>277468.87</v>
      </c>
      <c r="CQ32">
        <f t="shared" si="17"/>
        <v>2093.22</v>
      </c>
      <c r="CR32">
        <f t="shared" si="18"/>
        <v>0</v>
      </c>
      <c r="CS32">
        <f t="shared" si="19"/>
        <v>0</v>
      </c>
      <c r="CT32">
        <f t="shared" si="20"/>
        <v>0</v>
      </c>
      <c r="CU32">
        <f t="shared" si="21"/>
        <v>0</v>
      </c>
      <c r="CV32">
        <f t="shared" si="22"/>
        <v>0</v>
      </c>
      <c r="CW32">
        <f t="shared" si="23"/>
        <v>0</v>
      </c>
      <c r="CX32">
        <f t="shared" si="24"/>
        <v>0</v>
      </c>
      <c r="CY32">
        <f t="shared" si="25"/>
        <v>0</v>
      </c>
      <c r="CZ32">
        <f t="shared" si="26"/>
        <v>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1007</v>
      </c>
      <c r="DV32" t="s">
        <v>55</v>
      </c>
      <c r="DW32" t="s">
        <v>55</v>
      </c>
      <c r="DX32">
        <v>1</v>
      </c>
      <c r="EE32">
        <v>5677341</v>
      </c>
      <c r="EF32">
        <v>2</v>
      </c>
      <c r="EG32" t="s">
        <v>20</v>
      </c>
      <c r="EH32">
        <v>0</v>
      </c>
      <c r="EJ32">
        <v>1</v>
      </c>
      <c r="EK32">
        <v>29</v>
      </c>
      <c r="EL32" t="s">
        <v>49</v>
      </c>
      <c r="EM32" t="s">
        <v>50</v>
      </c>
      <c r="EQ32">
        <v>0</v>
      </c>
      <c r="ER32">
        <v>2355.93</v>
      </c>
      <c r="ES32">
        <v>2355.93</v>
      </c>
      <c r="ET32">
        <v>0</v>
      </c>
      <c r="EU32">
        <v>0</v>
      </c>
      <c r="EV32">
        <v>0</v>
      </c>
      <c r="EW32">
        <v>0</v>
      </c>
      <c r="EX32">
        <v>0</v>
      </c>
    </row>
    <row r="33" spans="1:154" ht="12.75">
      <c r="A33">
        <v>17</v>
      </c>
      <c r="B33">
        <v>1</v>
      </c>
      <c r="C33">
        <f>ROW(SmtRes!A37)</f>
        <v>37</v>
      </c>
      <c r="D33">
        <f>ROW(EtalonRes!A36)</f>
        <v>36</v>
      </c>
      <c r="E33" t="s">
        <v>59</v>
      </c>
      <c r="F33" t="s">
        <v>60</v>
      </c>
      <c r="G33" t="s">
        <v>61</v>
      </c>
      <c r="H33" t="s">
        <v>46</v>
      </c>
      <c r="I33">
        <v>82.45</v>
      </c>
      <c r="J33">
        <v>0</v>
      </c>
      <c r="O33">
        <f t="shared" si="2"/>
        <v>49360.44</v>
      </c>
      <c r="P33">
        <f t="shared" si="3"/>
        <v>35198.4</v>
      </c>
      <c r="Q33">
        <f t="shared" si="4"/>
        <v>8061.5</v>
      </c>
      <c r="R33">
        <f t="shared" si="5"/>
        <v>1833.64</v>
      </c>
      <c r="S33">
        <f t="shared" si="6"/>
        <v>6100.54</v>
      </c>
      <c r="T33">
        <f t="shared" si="7"/>
        <v>0</v>
      </c>
      <c r="U33">
        <f t="shared" si="8"/>
        <v>74.205</v>
      </c>
      <c r="V33">
        <f t="shared" si="9"/>
        <v>17.3145</v>
      </c>
      <c r="W33">
        <f t="shared" si="10"/>
        <v>0</v>
      </c>
      <c r="X33">
        <f t="shared" si="11"/>
        <v>9098.92</v>
      </c>
      <c r="Y33">
        <f t="shared" si="12"/>
        <v>6347.34</v>
      </c>
      <c r="AA33">
        <v>0</v>
      </c>
      <c r="AB33">
        <f t="shared" si="13"/>
        <v>96.67999999999999</v>
      </c>
      <c r="AC33">
        <f aca="true" t="shared" si="32" ref="AC33:AF34">(ES33)</f>
        <v>66.6</v>
      </c>
      <c r="AD33">
        <f t="shared" si="32"/>
        <v>23.06</v>
      </c>
      <c r="AE33">
        <f t="shared" si="32"/>
        <v>2.11</v>
      </c>
      <c r="AF33">
        <f t="shared" si="32"/>
        <v>7.02</v>
      </c>
      <c r="AG33">
        <f>(AP33)</f>
        <v>0</v>
      </c>
      <c r="AH33">
        <f>(EW33)</f>
        <v>0.9</v>
      </c>
      <c r="AI33">
        <f>(EX33)</f>
        <v>0.21</v>
      </c>
      <c r="AJ33">
        <f>(AS33)</f>
        <v>0</v>
      </c>
      <c r="AK33">
        <v>96.68</v>
      </c>
      <c r="AL33">
        <v>66.6</v>
      </c>
      <c r="AM33">
        <v>23.06</v>
      </c>
      <c r="AN33">
        <v>2.11</v>
      </c>
      <c r="AO33">
        <v>7.02</v>
      </c>
      <c r="AP33">
        <v>0</v>
      </c>
      <c r="AQ33">
        <v>0.9</v>
      </c>
      <c r="AR33">
        <v>0.21</v>
      </c>
      <c r="AS33">
        <v>0</v>
      </c>
      <c r="AT33">
        <f t="shared" si="14"/>
        <v>114.68</v>
      </c>
      <c r="AU33">
        <f t="shared" si="15"/>
        <v>80</v>
      </c>
      <c r="AV33">
        <v>1</v>
      </c>
      <c r="AW33">
        <v>1</v>
      </c>
      <c r="AX33">
        <v>1</v>
      </c>
      <c r="AY33">
        <v>1</v>
      </c>
      <c r="AZ33">
        <v>6.83</v>
      </c>
      <c r="BA33">
        <v>10.54</v>
      </c>
      <c r="BB33">
        <v>4.24</v>
      </c>
      <c r="BC33">
        <v>6.41</v>
      </c>
      <c r="BH33">
        <v>0</v>
      </c>
      <c r="BI33">
        <v>1</v>
      </c>
      <c r="BJ33" t="s">
        <v>62</v>
      </c>
      <c r="BM33">
        <v>14</v>
      </c>
      <c r="BN33">
        <v>0</v>
      </c>
      <c r="BO33" t="s">
        <v>60</v>
      </c>
      <c r="BP33">
        <v>1</v>
      </c>
      <c r="BQ33">
        <v>2</v>
      </c>
      <c r="BR33">
        <v>0</v>
      </c>
      <c r="BS33">
        <v>10.54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114.68</v>
      </c>
      <c r="CA33">
        <v>80</v>
      </c>
      <c r="CF33">
        <v>0</v>
      </c>
      <c r="CG33">
        <v>0</v>
      </c>
      <c r="CM33">
        <v>1</v>
      </c>
      <c r="CO33">
        <v>0</v>
      </c>
      <c r="CP33">
        <f t="shared" si="16"/>
        <v>49360.44</v>
      </c>
      <c r="CQ33">
        <f t="shared" si="17"/>
        <v>426.90599999999995</v>
      </c>
      <c r="CR33">
        <f t="shared" si="18"/>
        <v>97.7744</v>
      </c>
      <c r="CS33">
        <f t="shared" si="19"/>
        <v>22.239399999999996</v>
      </c>
      <c r="CT33">
        <f t="shared" si="20"/>
        <v>73.9908</v>
      </c>
      <c r="CU33">
        <f t="shared" si="21"/>
        <v>0</v>
      </c>
      <c r="CV33">
        <f t="shared" si="22"/>
        <v>0.9</v>
      </c>
      <c r="CW33">
        <f t="shared" si="23"/>
        <v>0.21</v>
      </c>
      <c r="CX33">
        <f t="shared" si="24"/>
        <v>0</v>
      </c>
      <c r="CY33">
        <f t="shared" si="25"/>
        <v>9098.917624000002</v>
      </c>
      <c r="CZ33">
        <f t="shared" si="26"/>
        <v>6347.344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1007</v>
      </c>
      <c r="DV33" t="s">
        <v>46</v>
      </c>
      <c r="DW33" t="s">
        <v>63</v>
      </c>
      <c r="DX33">
        <v>1</v>
      </c>
      <c r="EE33">
        <v>5677327</v>
      </c>
      <c r="EF33">
        <v>2</v>
      </c>
      <c r="EG33" t="s">
        <v>20</v>
      </c>
      <c r="EH33">
        <v>0</v>
      </c>
      <c r="EJ33">
        <v>1</v>
      </c>
      <c r="EK33">
        <v>14</v>
      </c>
      <c r="EL33" t="s">
        <v>64</v>
      </c>
      <c r="EM33" t="s">
        <v>44</v>
      </c>
      <c r="EP33" t="s">
        <v>65</v>
      </c>
      <c r="EQ33">
        <v>0</v>
      </c>
      <c r="ER33">
        <v>96.68</v>
      </c>
      <c r="ES33">
        <v>66.6</v>
      </c>
      <c r="ET33">
        <v>23.06</v>
      </c>
      <c r="EU33">
        <v>2.11</v>
      </c>
      <c r="EV33">
        <v>7.02</v>
      </c>
      <c r="EW33">
        <v>0.9</v>
      </c>
      <c r="EX33">
        <v>0.21</v>
      </c>
    </row>
    <row r="34" spans="1:154" ht="12.75">
      <c r="A34">
        <v>17</v>
      </c>
      <c r="B34">
        <v>1</v>
      </c>
      <c r="C34">
        <f>ROW(SmtRes!A46)</f>
        <v>46</v>
      </c>
      <c r="D34">
        <f>ROW(EtalonRes!A44)</f>
        <v>44</v>
      </c>
      <c r="E34" t="s">
        <v>66</v>
      </c>
      <c r="F34" t="s">
        <v>67</v>
      </c>
      <c r="G34" t="s">
        <v>68</v>
      </c>
      <c r="H34" t="s">
        <v>69</v>
      </c>
      <c r="I34">
        <v>0.097</v>
      </c>
      <c r="J34">
        <v>0</v>
      </c>
      <c r="O34">
        <f t="shared" si="2"/>
        <v>32527.45</v>
      </c>
      <c r="P34">
        <f t="shared" si="3"/>
        <v>30736.43</v>
      </c>
      <c r="Q34">
        <f t="shared" si="4"/>
        <v>490.93</v>
      </c>
      <c r="R34">
        <f t="shared" si="5"/>
        <v>143.27</v>
      </c>
      <c r="S34">
        <f t="shared" si="6"/>
        <v>1300.09</v>
      </c>
      <c r="T34">
        <f t="shared" si="7"/>
        <v>0</v>
      </c>
      <c r="U34">
        <f t="shared" si="8"/>
        <v>15.81391</v>
      </c>
      <c r="V34">
        <f t="shared" si="9"/>
        <v>1.01947</v>
      </c>
      <c r="W34">
        <f t="shared" si="10"/>
        <v>0</v>
      </c>
      <c r="X34">
        <f t="shared" si="11"/>
        <v>1424.6</v>
      </c>
      <c r="Y34">
        <f t="shared" si="12"/>
        <v>938.18</v>
      </c>
      <c r="AA34">
        <v>0</v>
      </c>
      <c r="AB34">
        <f t="shared" si="13"/>
        <v>61867.78999999999</v>
      </c>
      <c r="AC34">
        <f t="shared" si="32"/>
        <v>59674.27</v>
      </c>
      <c r="AD34">
        <f t="shared" si="32"/>
        <v>921.89</v>
      </c>
      <c r="AE34">
        <f t="shared" si="32"/>
        <v>140.13</v>
      </c>
      <c r="AF34">
        <f t="shared" si="32"/>
        <v>1271.63</v>
      </c>
      <c r="AG34">
        <f>(AP34)</f>
        <v>0</v>
      </c>
      <c r="AH34">
        <f>(EW34)</f>
        <v>163.03</v>
      </c>
      <c r="AI34">
        <f>(EX34)</f>
        <v>10.51</v>
      </c>
      <c r="AJ34">
        <f>(AS34)</f>
        <v>0</v>
      </c>
      <c r="AK34">
        <v>61867.79</v>
      </c>
      <c r="AL34">
        <v>59674.27</v>
      </c>
      <c r="AM34">
        <v>921.89</v>
      </c>
      <c r="AN34">
        <v>140.13</v>
      </c>
      <c r="AO34">
        <v>1271.63</v>
      </c>
      <c r="AP34">
        <v>0</v>
      </c>
      <c r="AQ34">
        <v>163.03</v>
      </c>
      <c r="AR34">
        <v>10.51</v>
      </c>
      <c r="AS34">
        <v>0</v>
      </c>
      <c r="AT34">
        <f t="shared" si="14"/>
        <v>98.7</v>
      </c>
      <c r="AU34">
        <f t="shared" si="15"/>
        <v>65</v>
      </c>
      <c r="AV34">
        <v>1</v>
      </c>
      <c r="AW34">
        <v>1</v>
      </c>
      <c r="AX34">
        <v>1</v>
      </c>
      <c r="AY34">
        <v>1</v>
      </c>
      <c r="AZ34">
        <v>5.6</v>
      </c>
      <c r="BA34">
        <v>10.54</v>
      </c>
      <c r="BB34">
        <v>5.49</v>
      </c>
      <c r="BC34">
        <v>5.31</v>
      </c>
      <c r="BH34">
        <v>0</v>
      </c>
      <c r="BI34">
        <v>1</v>
      </c>
      <c r="BJ34" t="s">
        <v>70</v>
      </c>
      <c r="BM34">
        <v>10</v>
      </c>
      <c r="BN34">
        <v>0</v>
      </c>
      <c r="BO34" t="s">
        <v>67</v>
      </c>
      <c r="BP34">
        <v>1</v>
      </c>
      <c r="BQ34">
        <v>2</v>
      </c>
      <c r="BR34">
        <v>0</v>
      </c>
      <c r="BS34">
        <v>10.54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98.7</v>
      </c>
      <c r="CA34">
        <v>65</v>
      </c>
      <c r="CF34">
        <v>0</v>
      </c>
      <c r="CG34">
        <v>0</v>
      </c>
      <c r="CM34">
        <v>1</v>
      </c>
      <c r="CO34">
        <v>0</v>
      </c>
      <c r="CP34">
        <f t="shared" si="16"/>
        <v>32527.45</v>
      </c>
      <c r="CQ34">
        <f t="shared" si="17"/>
        <v>316870.37369999994</v>
      </c>
      <c r="CR34">
        <f t="shared" si="18"/>
        <v>5061.1761</v>
      </c>
      <c r="CS34">
        <f t="shared" si="19"/>
        <v>1476.9701999999997</v>
      </c>
      <c r="CT34">
        <f t="shared" si="20"/>
        <v>13402.9802</v>
      </c>
      <c r="CU34">
        <f t="shared" si="21"/>
        <v>0</v>
      </c>
      <c r="CV34">
        <f t="shared" si="22"/>
        <v>163.03</v>
      </c>
      <c r="CW34">
        <f t="shared" si="23"/>
        <v>10.51</v>
      </c>
      <c r="CX34">
        <f t="shared" si="24"/>
        <v>0</v>
      </c>
      <c r="CY34">
        <f t="shared" si="25"/>
        <v>1424.5963199999999</v>
      </c>
      <c r="CZ34">
        <f t="shared" si="26"/>
        <v>938.184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1007</v>
      </c>
      <c r="DV34" t="s">
        <v>69</v>
      </c>
      <c r="DW34" t="s">
        <v>71</v>
      </c>
      <c r="DX34">
        <v>100</v>
      </c>
      <c r="EE34">
        <v>5677324</v>
      </c>
      <c r="EF34">
        <v>2</v>
      </c>
      <c r="EG34" t="s">
        <v>20</v>
      </c>
      <c r="EH34">
        <v>0</v>
      </c>
      <c r="EJ34">
        <v>1</v>
      </c>
      <c r="EK34">
        <v>10</v>
      </c>
      <c r="EL34" t="s">
        <v>72</v>
      </c>
      <c r="EM34" t="s">
        <v>73</v>
      </c>
      <c r="EP34" t="s">
        <v>74</v>
      </c>
      <c r="EQ34">
        <v>0</v>
      </c>
      <c r="ER34">
        <v>61867.79</v>
      </c>
      <c r="ES34">
        <v>59674.27</v>
      </c>
      <c r="ET34">
        <v>921.89</v>
      </c>
      <c r="EU34">
        <v>140.13</v>
      </c>
      <c r="EV34">
        <v>1271.63</v>
      </c>
      <c r="EW34">
        <v>163.03</v>
      </c>
      <c r="EX34">
        <v>10.51</v>
      </c>
    </row>
    <row r="35" spans="1:154" ht="12.75">
      <c r="A35">
        <v>18</v>
      </c>
      <c r="B35">
        <v>1</v>
      </c>
      <c r="C35">
        <v>44</v>
      </c>
      <c r="E35" t="s">
        <v>75</v>
      </c>
      <c r="F35" t="s">
        <v>76</v>
      </c>
      <c r="G35" t="s">
        <v>77</v>
      </c>
      <c r="H35" t="s">
        <v>55</v>
      </c>
      <c r="I35">
        <f>I34*J35</f>
        <v>-9.894</v>
      </c>
      <c r="J35">
        <v>-102</v>
      </c>
      <c r="O35">
        <f t="shared" si="2"/>
        <v>-29420.8</v>
      </c>
      <c r="P35">
        <f t="shared" si="3"/>
        <v>-29420.8</v>
      </c>
      <c r="Q35">
        <f t="shared" si="4"/>
        <v>0</v>
      </c>
      <c r="R35">
        <f t="shared" si="5"/>
        <v>0</v>
      </c>
      <c r="S35">
        <f t="shared" si="6"/>
        <v>0</v>
      </c>
      <c r="T35">
        <f t="shared" si="7"/>
        <v>0</v>
      </c>
      <c r="U35">
        <f t="shared" si="8"/>
        <v>0</v>
      </c>
      <c r="V35">
        <f t="shared" si="9"/>
        <v>0</v>
      </c>
      <c r="W35">
        <f t="shared" si="10"/>
        <v>0</v>
      </c>
      <c r="X35">
        <f t="shared" si="11"/>
        <v>0</v>
      </c>
      <c r="Y35">
        <f t="shared" si="12"/>
        <v>0</v>
      </c>
      <c r="AA35">
        <v>0</v>
      </c>
      <c r="AB35">
        <f t="shared" si="13"/>
        <v>560</v>
      </c>
      <c r="AC35">
        <f aca="true" t="shared" si="33" ref="AC35:AJ36">AL35</f>
        <v>560</v>
      </c>
      <c r="AD35">
        <f t="shared" si="33"/>
        <v>0</v>
      </c>
      <c r="AE35">
        <f t="shared" si="33"/>
        <v>0</v>
      </c>
      <c r="AF35">
        <f t="shared" si="33"/>
        <v>0</v>
      </c>
      <c r="AG35">
        <f t="shared" si="33"/>
        <v>0</v>
      </c>
      <c r="AH35">
        <f t="shared" si="33"/>
        <v>0</v>
      </c>
      <c r="AI35">
        <f t="shared" si="33"/>
        <v>0</v>
      </c>
      <c r="AJ35">
        <f t="shared" si="33"/>
        <v>0</v>
      </c>
      <c r="AK35">
        <v>560</v>
      </c>
      <c r="AL35">
        <v>560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f t="shared" si="14"/>
        <v>98.7</v>
      </c>
      <c r="AU35">
        <f t="shared" si="15"/>
        <v>65</v>
      </c>
      <c r="AV35">
        <v>1</v>
      </c>
      <c r="AW35">
        <v>1</v>
      </c>
      <c r="AX35">
        <v>1</v>
      </c>
      <c r="AY35">
        <v>1</v>
      </c>
      <c r="AZ35">
        <v>5.6</v>
      </c>
      <c r="BA35">
        <v>10.54</v>
      </c>
      <c r="BB35">
        <v>5.49</v>
      </c>
      <c r="BC35">
        <v>5.31</v>
      </c>
      <c r="BH35">
        <v>3</v>
      </c>
      <c r="BI35">
        <v>1</v>
      </c>
      <c r="BJ35" t="s">
        <v>78</v>
      </c>
      <c r="BM35">
        <v>10</v>
      </c>
      <c r="BN35">
        <v>0</v>
      </c>
      <c r="BO35" t="s">
        <v>67</v>
      </c>
      <c r="BP35">
        <v>1</v>
      </c>
      <c r="BQ35">
        <v>2</v>
      </c>
      <c r="BR35">
        <v>0</v>
      </c>
      <c r="BS35">
        <v>10.54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98.7</v>
      </c>
      <c r="CA35">
        <v>65</v>
      </c>
      <c r="CF35">
        <v>0</v>
      </c>
      <c r="CG35">
        <v>0</v>
      </c>
      <c r="CM35">
        <v>1</v>
      </c>
      <c r="CO35">
        <v>0</v>
      </c>
      <c r="CP35">
        <f t="shared" si="16"/>
        <v>-29420.8</v>
      </c>
      <c r="CQ35">
        <f t="shared" si="17"/>
        <v>2973.6</v>
      </c>
      <c r="CR35">
        <f t="shared" si="18"/>
        <v>0</v>
      </c>
      <c r="CS35">
        <f t="shared" si="19"/>
        <v>0</v>
      </c>
      <c r="CT35">
        <f t="shared" si="20"/>
        <v>0</v>
      </c>
      <c r="CU35">
        <f t="shared" si="21"/>
        <v>0</v>
      </c>
      <c r="CV35">
        <f t="shared" si="22"/>
        <v>0</v>
      </c>
      <c r="CW35">
        <f t="shared" si="23"/>
        <v>0</v>
      </c>
      <c r="CX35">
        <f t="shared" si="24"/>
        <v>0</v>
      </c>
      <c r="CY35">
        <f t="shared" si="25"/>
        <v>0</v>
      </c>
      <c r="CZ35">
        <f t="shared" si="26"/>
        <v>0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1007</v>
      </c>
      <c r="DV35" t="s">
        <v>55</v>
      </c>
      <c r="DW35" t="s">
        <v>55</v>
      </c>
      <c r="DX35">
        <v>1</v>
      </c>
      <c r="EE35">
        <v>5677324</v>
      </c>
      <c r="EF35">
        <v>2</v>
      </c>
      <c r="EG35" t="s">
        <v>20</v>
      </c>
      <c r="EH35">
        <v>0</v>
      </c>
      <c r="EJ35">
        <v>1</v>
      </c>
      <c r="EK35">
        <v>10</v>
      </c>
      <c r="EL35" t="s">
        <v>72</v>
      </c>
      <c r="EM35" t="s">
        <v>73</v>
      </c>
      <c r="EQ35">
        <v>0</v>
      </c>
      <c r="ER35">
        <v>560</v>
      </c>
      <c r="ES35">
        <v>560</v>
      </c>
      <c r="ET35">
        <v>0</v>
      </c>
      <c r="EU35">
        <v>0</v>
      </c>
      <c r="EV35">
        <v>0</v>
      </c>
      <c r="EW35">
        <v>0</v>
      </c>
      <c r="EX35">
        <v>0</v>
      </c>
    </row>
    <row r="36" spans="1:154" ht="12.75">
      <c r="A36">
        <v>18</v>
      </c>
      <c r="B36">
        <v>1</v>
      </c>
      <c r="C36">
        <v>46</v>
      </c>
      <c r="E36" t="s">
        <v>79</v>
      </c>
      <c r="F36" t="s">
        <v>25</v>
      </c>
      <c r="G36" t="s">
        <v>80</v>
      </c>
      <c r="H36" t="s">
        <v>55</v>
      </c>
      <c r="I36">
        <f>I34*J36</f>
        <v>9.894</v>
      </c>
      <c r="J36">
        <v>102</v>
      </c>
      <c r="O36">
        <f t="shared" si="2"/>
        <v>38150.57</v>
      </c>
      <c r="P36">
        <f t="shared" si="3"/>
        <v>38150.57</v>
      </c>
      <c r="Q36">
        <f t="shared" si="4"/>
        <v>0</v>
      </c>
      <c r="R36">
        <f t="shared" si="5"/>
        <v>0</v>
      </c>
      <c r="S36">
        <f t="shared" si="6"/>
        <v>0</v>
      </c>
      <c r="T36">
        <f t="shared" si="7"/>
        <v>0</v>
      </c>
      <c r="U36">
        <f t="shared" si="8"/>
        <v>0</v>
      </c>
      <c r="V36">
        <f t="shared" si="9"/>
        <v>0</v>
      </c>
      <c r="W36">
        <f t="shared" si="10"/>
        <v>0</v>
      </c>
      <c r="X36">
        <f t="shared" si="11"/>
        <v>0</v>
      </c>
      <c r="Y36">
        <f t="shared" si="12"/>
        <v>0</v>
      </c>
      <c r="AA36">
        <v>0</v>
      </c>
      <c r="AB36">
        <f t="shared" si="13"/>
        <v>3855.93</v>
      </c>
      <c r="AC36">
        <f t="shared" si="33"/>
        <v>3855.93</v>
      </c>
      <c r="AD36">
        <f t="shared" si="33"/>
        <v>0</v>
      </c>
      <c r="AE36">
        <f t="shared" si="33"/>
        <v>0</v>
      </c>
      <c r="AF36">
        <f t="shared" si="33"/>
        <v>0</v>
      </c>
      <c r="AG36">
        <f t="shared" si="33"/>
        <v>0</v>
      </c>
      <c r="AH36">
        <f t="shared" si="33"/>
        <v>0</v>
      </c>
      <c r="AI36">
        <f t="shared" si="33"/>
        <v>0</v>
      </c>
      <c r="AJ36">
        <f t="shared" si="33"/>
        <v>0</v>
      </c>
      <c r="AK36">
        <v>3855.93</v>
      </c>
      <c r="AL36">
        <v>3855.93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f t="shared" si="14"/>
        <v>98.7</v>
      </c>
      <c r="AU36">
        <f t="shared" si="15"/>
        <v>65</v>
      </c>
      <c r="AV36">
        <v>1</v>
      </c>
      <c r="AW36">
        <v>1</v>
      </c>
      <c r="AX36">
        <v>1</v>
      </c>
      <c r="AY36">
        <v>1</v>
      </c>
      <c r="AZ36">
        <v>5.6</v>
      </c>
      <c r="BA36">
        <v>10.54</v>
      </c>
      <c r="BB36">
        <v>5.49</v>
      </c>
      <c r="BC36">
        <v>1</v>
      </c>
      <c r="BH36">
        <v>3</v>
      </c>
      <c r="BI36">
        <v>1</v>
      </c>
      <c r="BM36">
        <v>10</v>
      </c>
      <c r="BN36">
        <v>0</v>
      </c>
      <c r="BO36" t="s">
        <v>67</v>
      </c>
      <c r="BP36">
        <v>1</v>
      </c>
      <c r="BQ36">
        <v>2</v>
      </c>
      <c r="BR36">
        <v>0</v>
      </c>
      <c r="BS36">
        <v>10.54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98.7</v>
      </c>
      <c r="CA36">
        <v>65</v>
      </c>
      <c r="CF36">
        <v>0</v>
      </c>
      <c r="CG36">
        <v>0</v>
      </c>
      <c r="CM36">
        <v>1</v>
      </c>
      <c r="CO36">
        <v>0</v>
      </c>
      <c r="CP36">
        <f t="shared" si="16"/>
        <v>38150.57</v>
      </c>
      <c r="CQ36">
        <f t="shared" si="17"/>
        <v>3855.93</v>
      </c>
      <c r="CR36">
        <f t="shared" si="18"/>
        <v>0</v>
      </c>
      <c r="CS36">
        <f t="shared" si="19"/>
        <v>0</v>
      </c>
      <c r="CT36">
        <f t="shared" si="20"/>
        <v>0</v>
      </c>
      <c r="CU36">
        <f t="shared" si="21"/>
        <v>0</v>
      </c>
      <c r="CV36">
        <f t="shared" si="22"/>
        <v>0</v>
      </c>
      <c r="CW36">
        <f t="shared" si="23"/>
        <v>0</v>
      </c>
      <c r="CX36">
        <f t="shared" si="24"/>
        <v>0</v>
      </c>
      <c r="CY36">
        <f t="shared" si="25"/>
        <v>0</v>
      </c>
      <c r="CZ36">
        <f t="shared" si="26"/>
        <v>0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1007</v>
      </c>
      <c r="DV36" t="s">
        <v>55</v>
      </c>
      <c r="DW36" t="s">
        <v>55</v>
      </c>
      <c r="DX36">
        <v>1</v>
      </c>
      <c r="EE36">
        <v>5677324</v>
      </c>
      <c r="EF36">
        <v>2</v>
      </c>
      <c r="EG36" t="s">
        <v>20</v>
      </c>
      <c r="EH36">
        <v>0</v>
      </c>
      <c r="EJ36">
        <v>1</v>
      </c>
      <c r="EK36">
        <v>10</v>
      </c>
      <c r="EL36" t="s">
        <v>72</v>
      </c>
      <c r="EM36" t="s">
        <v>73</v>
      </c>
      <c r="EQ36">
        <v>0</v>
      </c>
      <c r="ER36">
        <v>3855.93</v>
      </c>
      <c r="ES36">
        <v>3855.93</v>
      </c>
      <c r="ET36">
        <v>0</v>
      </c>
      <c r="EU36">
        <v>0</v>
      </c>
      <c r="EV36">
        <v>0</v>
      </c>
      <c r="EW36">
        <v>0</v>
      </c>
      <c r="EX36">
        <v>0</v>
      </c>
    </row>
    <row r="37" spans="1:154" ht="12.75">
      <c r="A37">
        <v>17</v>
      </c>
      <c r="B37">
        <v>1</v>
      </c>
      <c r="C37">
        <f>ROW(SmtRes!A54)</f>
        <v>54</v>
      </c>
      <c r="D37">
        <f>ROW(EtalonRes!A50)</f>
        <v>50</v>
      </c>
      <c r="E37" t="s">
        <v>81</v>
      </c>
      <c r="F37" t="s">
        <v>82</v>
      </c>
      <c r="G37" t="s">
        <v>83</v>
      </c>
      <c r="H37" t="s">
        <v>84</v>
      </c>
      <c r="I37">
        <v>0.98</v>
      </c>
      <c r="J37">
        <v>0</v>
      </c>
      <c r="O37">
        <f t="shared" si="2"/>
        <v>24123.67</v>
      </c>
      <c r="P37">
        <f t="shared" si="3"/>
        <v>22802.2</v>
      </c>
      <c r="Q37">
        <f t="shared" si="4"/>
        <v>164.7</v>
      </c>
      <c r="R37">
        <f t="shared" si="5"/>
        <v>22.31</v>
      </c>
      <c r="S37">
        <f t="shared" si="6"/>
        <v>1156.77</v>
      </c>
      <c r="T37">
        <f t="shared" si="7"/>
        <v>0</v>
      </c>
      <c r="U37">
        <f t="shared" si="8"/>
        <v>12.3872</v>
      </c>
      <c r="V37">
        <f t="shared" si="9"/>
        <v>0.3724</v>
      </c>
      <c r="W37">
        <f t="shared" si="10"/>
        <v>0</v>
      </c>
      <c r="X37">
        <f t="shared" si="11"/>
        <v>1163.75</v>
      </c>
      <c r="Y37">
        <f t="shared" si="12"/>
        <v>766.4</v>
      </c>
      <c r="AA37">
        <v>0</v>
      </c>
      <c r="AB37">
        <f t="shared" si="13"/>
        <v>6082.1</v>
      </c>
      <c r="AC37">
        <f>(ES37)</f>
        <v>5935.6</v>
      </c>
      <c r="AD37">
        <f>(ET37)</f>
        <v>34.51</v>
      </c>
      <c r="AE37">
        <f>(EU37)</f>
        <v>2.16</v>
      </c>
      <c r="AF37">
        <f>(EV37)</f>
        <v>111.99</v>
      </c>
      <c r="AG37">
        <f>(AP37)</f>
        <v>0</v>
      </c>
      <c r="AH37">
        <f>(EW37)</f>
        <v>12.64</v>
      </c>
      <c r="AI37">
        <f>(EX37)</f>
        <v>0.38</v>
      </c>
      <c r="AJ37">
        <f>(AS37)</f>
        <v>0</v>
      </c>
      <c r="AK37">
        <v>6082.1</v>
      </c>
      <c r="AL37">
        <v>5935.6</v>
      </c>
      <c r="AM37">
        <v>34.51</v>
      </c>
      <c r="AN37">
        <v>2.16</v>
      </c>
      <c r="AO37">
        <v>111.99</v>
      </c>
      <c r="AP37">
        <v>0</v>
      </c>
      <c r="AQ37">
        <v>12.64</v>
      </c>
      <c r="AR37">
        <v>0.38</v>
      </c>
      <c r="AS37">
        <v>0</v>
      </c>
      <c r="AT37">
        <f t="shared" si="14"/>
        <v>98.7</v>
      </c>
      <c r="AU37">
        <f t="shared" si="15"/>
        <v>65</v>
      </c>
      <c r="AV37">
        <v>1</v>
      </c>
      <c r="AW37">
        <v>1</v>
      </c>
      <c r="AX37">
        <v>1</v>
      </c>
      <c r="AY37">
        <v>1</v>
      </c>
      <c r="AZ37">
        <v>4.24</v>
      </c>
      <c r="BA37">
        <v>10.54</v>
      </c>
      <c r="BB37">
        <v>4.87</v>
      </c>
      <c r="BC37">
        <v>3.92</v>
      </c>
      <c r="BH37">
        <v>0</v>
      </c>
      <c r="BI37">
        <v>1</v>
      </c>
      <c r="BJ37" t="s">
        <v>85</v>
      </c>
      <c r="BM37">
        <v>10</v>
      </c>
      <c r="BN37">
        <v>0</v>
      </c>
      <c r="BO37" t="s">
        <v>82</v>
      </c>
      <c r="BP37">
        <v>1</v>
      </c>
      <c r="BQ37">
        <v>2</v>
      </c>
      <c r="BR37">
        <v>0</v>
      </c>
      <c r="BS37">
        <v>10.54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98.7</v>
      </c>
      <c r="CA37">
        <v>65</v>
      </c>
      <c r="CF37">
        <v>0</v>
      </c>
      <c r="CG37">
        <v>0</v>
      </c>
      <c r="CM37">
        <v>1</v>
      </c>
      <c r="CO37">
        <v>0</v>
      </c>
      <c r="CP37">
        <f t="shared" si="16"/>
        <v>24123.670000000002</v>
      </c>
      <c r="CQ37">
        <f t="shared" si="17"/>
        <v>23267.552</v>
      </c>
      <c r="CR37">
        <f t="shared" si="18"/>
        <v>168.06369999999998</v>
      </c>
      <c r="CS37">
        <f t="shared" si="19"/>
        <v>22.7664</v>
      </c>
      <c r="CT37">
        <f t="shared" si="20"/>
        <v>1180.3745999999999</v>
      </c>
      <c r="CU37">
        <f t="shared" si="21"/>
        <v>0</v>
      </c>
      <c r="CV37">
        <f t="shared" si="22"/>
        <v>12.64</v>
      </c>
      <c r="CW37">
        <f t="shared" si="23"/>
        <v>0.38</v>
      </c>
      <c r="CX37">
        <f t="shared" si="24"/>
        <v>0</v>
      </c>
      <c r="CY37">
        <f t="shared" si="25"/>
        <v>1163.75196</v>
      </c>
      <c r="CZ37">
        <f t="shared" si="26"/>
        <v>766.4019999999999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1009</v>
      </c>
      <c r="DV37" t="s">
        <v>84</v>
      </c>
      <c r="DW37" t="s">
        <v>84</v>
      </c>
      <c r="DX37">
        <v>1000</v>
      </c>
      <c r="EE37">
        <v>5677324</v>
      </c>
      <c r="EF37">
        <v>2</v>
      </c>
      <c r="EG37" t="s">
        <v>20</v>
      </c>
      <c r="EH37">
        <v>0</v>
      </c>
      <c r="EJ37">
        <v>1</v>
      </c>
      <c r="EK37">
        <v>10</v>
      </c>
      <c r="EL37" t="s">
        <v>72</v>
      </c>
      <c r="EM37" t="s">
        <v>73</v>
      </c>
      <c r="EP37" t="s">
        <v>355</v>
      </c>
      <c r="EQ37">
        <v>0</v>
      </c>
      <c r="ER37">
        <v>6082.1</v>
      </c>
      <c r="ES37">
        <v>5935.6</v>
      </c>
      <c r="ET37">
        <v>34.51</v>
      </c>
      <c r="EU37">
        <v>2.16</v>
      </c>
      <c r="EV37">
        <v>111.99</v>
      </c>
      <c r="EW37">
        <v>12.64</v>
      </c>
      <c r="EX37">
        <v>0.38</v>
      </c>
    </row>
    <row r="38" spans="1:154" ht="12.75">
      <c r="A38">
        <v>18</v>
      </c>
      <c r="B38">
        <v>1</v>
      </c>
      <c r="C38">
        <v>52</v>
      </c>
      <c r="E38" t="s">
        <v>86</v>
      </c>
      <c r="F38" t="s">
        <v>87</v>
      </c>
      <c r="G38" t="s">
        <v>88</v>
      </c>
      <c r="H38" t="s">
        <v>84</v>
      </c>
      <c r="I38">
        <f>I37*J38</f>
        <v>-0.98</v>
      </c>
      <c r="J38">
        <v>-1</v>
      </c>
      <c r="O38">
        <f t="shared" si="2"/>
        <v>-21705.04</v>
      </c>
      <c r="P38">
        <f t="shared" si="3"/>
        <v>-21705.04</v>
      </c>
      <c r="Q38">
        <f t="shared" si="4"/>
        <v>0</v>
      </c>
      <c r="R38">
        <f t="shared" si="5"/>
        <v>0</v>
      </c>
      <c r="S38">
        <f t="shared" si="6"/>
        <v>0</v>
      </c>
      <c r="T38">
        <f t="shared" si="7"/>
        <v>0</v>
      </c>
      <c r="U38">
        <f t="shared" si="8"/>
        <v>0</v>
      </c>
      <c r="V38">
        <f t="shared" si="9"/>
        <v>0</v>
      </c>
      <c r="W38">
        <f t="shared" si="10"/>
        <v>0</v>
      </c>
      <c r="X38">
        <f t="shared" si="11"/>
        <v>0</v>
      </c>
      <c r="Y38">
        <f t="shared" si="12"/>
        <v>0</v>
      </c>
      <c r="AA38">
        <v>0</v>
      </c>
      <c r="AB38">
        <f t="shared" si="13"/>
        <v>5650</v>
      </c>
      <c r="AC38">
        <f aca="true" t="shared" si="34" ref="AC38:AJ40">AL38</f>
        <v>5650</v>
      </c>
      <c r="AD38">
        <f t="shared" si="34"/>
        <v>0</v>
      </c>
      <c r="AE38">
        <f t="shared" si="34"/>
        <v>0</v>
      </c>
      <c r="AF38">
        <f t="shared" si="34"/>
        <v>0</v>
      </c>
      <c r="AG38">
        <f t="shared" si="34"/>
        <v>0</v>
      </c>
      <c r="AH38">
        <f t="shared" si="34"/>
        <v>0</v>
      </c>
      <c r="AI38">
        <f t="shared" si="34"/>
        <v>0</v>
      </c>
      <c r="AJ38">
        <f t="shared" si="34"/>
        <v>0</v>
      </c>
      <c r="AK38">
        <v>5650</v>
      </c>
      <c r="AL38">
        <v>5650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f t="shared" si="14"/>
        <v>98.7</v>
      </c>
      <c r="AU38">
        <f t="shared" si="15"/>
        <v>65</v>
      </c>
      <c r="AV38">
        <v>1</v>
      </c>
      <c r="AW38">
        <v>1</v>
      </c>
      <c r="AX38">
        <v>1</v>
      </c>
      <c r="AY38">
        <v>1</v>
      </c>
      <c r="AZ38">
        <v>4.24</v>
      </c>
      <c r="BA38">
        <v>10.54</v>
      </c>
      <c r="BB38">
        <v>4.87</v>
      </c>
      <c r="BC38">
        <v>3.92</v>
      </c>
      <c r="BH38">
        <v>3</v>
      </c>
      <c r="BI38">
        <v>1</v>
      </c>
      <c r="BJ38" t="s">
        <v>89</v>
      </c>
      <c r="BM38">
        <v>10</v>
      </c>
      <c r="BN38">
        <v>0</v>
      </c>
      <c r="BO38" t="s">
        <v>82</v>
      </c>
      <c r="BP38">
        <v>1</v>
      </c>
      <c r="BQ38">
        <v>2</v>
      </c>
      <c r="BR38">
        <v>0</v>
      </c>
      <c r="BS38">
        <v>10.54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98.7</v>
      </c>
      <c r="CA38">
        <v>65</v>
      </c>
      <c r="CF38">
        <v>0</v>
      </c>
      <c r="CG38">
        <v>0</v>
      </c>
      <c r="CM38">
        <v>1</v>
      </c>
      <c r="CO38">
        <v>0</v>
      </c>
      <c r="CP38">
        <f t="shared" si="16"/>
        <v>-21705.04</v>
      </c>
      <c r="CQ38">
        <f t="shared" si="17"/>
        <v>22148</v>
      </c>
      <c r="CR38">
        <f t="shared" si="18"/>
        <v>0</v>
      </c>
      <c r="CS38">
        <f t="shared" si="19"/>
        <v>0</v>
      </c>
      <c r="CT38">
        <f t="shared" si="20"/>
        <v>0</v>
      </c>
      <c r="CU38">
        <f t="shared" si="21"/>
        <v>0</v>
      </c>
      <c r="CV38">
        <f t="shared" si="22"/>
        <v>0</v>
      </c>
      <c r="CW38">
        <f t="shared" si="23"/>
        <v>0</v>
      </c>
      <c r="CX38">
        <f t="shared" si="24"/>
        <v>0</v>
      </c>
      <c r="CY38">
        <f t="shared" si="25"/>
        <v>0</v>
      </c>
      <c r="CZ38">
        <f t="shared" si="26"/>
        <v>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1009</v>
      </c>
      <c r="DV38" t="s">
        <v>84</v>
      </c>
      <c r="DW38" t="s">
        <v>84</v>
      </c>
      <c r="DX38">
        <v>1000</v>
      </c>
      <c r="EE38">
        <v>5677324</v>
      </c>
      <c r="EF38">
        <v>2</v>
      </c>
      <c r="EG38" t="s">
        <v>20</v>
      </c>
      <c r="EH38">
        <v>0</v>
      </c>
      <c r="EJ38">
        <v>1</v>
      </c>
      <c r="EK38">
        <v>10</v>
      </c>
      <c r="EL38" t="s">
        <v>72</v>
      </c>
      <c r="EM38" t="s">
        <v>73</v>
      </c>
      <c r="EQ38">
        <v>0</v>
      </c>
      <c r="ER38">
        <v>5650</v>
      </c>
      <c r="ES38">
        <v>5650</v>
      </c>
      <c r="ET38">
        <v>0</v>
      </c>
      <c r="EU38">
        <v>0</v>
      </c>
      <c r="EV38">
        <v>0</v>
      </c>
      <c r="EW38">
        <v>0</v>
      </c>
      <c r="EX38">
        <v>0</v>
      </c>
    </row>
    <row r="39" spans="1:154" ht="12.75">
      <c r="A39">
        <v>18</v>
      </c>
      <c r="B39">
        <v>1</v>
      </c>
      <c r="C39">
        <v>54</v>
      </c>
      <c r="E39" t="s">
        <v>90</v>
      </c>
      <c r="F39" t="s">
        <v>25</v>
      </c>
      <c r="G39" t="s">
        <v>91</v>
      </c>
      <c r="H39" t="s">
        <v>92</v>
      </c>
      <c r="I39">
        <f>I37*J39</f>
        <v>97.0004</v>
      </c>
      <c r="J39">
        <v>98.98</v>
      </c>
      <c r="O39">
        <f t="shared" si="2"/>
        <v>13156.36</v>
      </c>
      <c r="P39">
        <f t="shared" si="3"/>
        <v>13156.36</v>
      </c>
      <c r="Q39">
        <f t="shared" si="4"/>
        <v>0</v>
      </c>
      <c r="R39">
        <f t="shared" si="5"/>
        <v>0</v>
      </c>
      <c r="S39">
        <f t="shared" si="6"/>
        <v>0</v>
      </c>
      <c r="T39">
        <f t="shared" si="7"/>
        <v>0</v>
      </c>
      <c r="U39">
        <f t="shared" si="8"/>
        <v>0</v>
      </c>
      <c r="V39">
        <f t="shared" si="9"/>
        <v>0</v>
      </c>
      <c r="W39">
        <f t="shared" si="10"/>
        <v>0</v>
      </c>
      <c r="X39">
        <f t="shared" si="11"/>
        <v>0</v>
      </c>
      <c r="Y39">
        <f t="shared" si="12"/>
        <v>0</v>
      </c>
      <c r="AA39">
        <v>0</v>
      </c>
      <c r="AB39">
        <f t="shared" si="13"/>
        <v>34.6</v>
      </c>
      <c r="AC39">
        <f t="shared" si="34"/>
        <v>34.6</v>
      </c>
      <c r="AD39">
        <f t="shared" si="34"/>
        <v>0</v>
      </c>
      <c r="AE39">
        <f t="shared" si="34"/>
        <v>0</v>
      </c>
      <c r="AF39">
        <f t="shared" si="34"/>
        <v>0</v>
      </c>
      <c r="AG39">
        <f t="shared" si="34"/>
        <v>0</v>
      </c>
      <c r="AH39">
        <f t="shared" si="34"/>
        <v>0</v>
      </c>
      <c r="AI39">
        <f t="shared" si="34"/>
        <v>0</v>
      </c>
      <c r="AJ39">
        <f t="shared" si="34"/>
        <v>0</v>
      </c>
      <c r="AK39">
        <v>34.6</v>
      </c>
      <c r="AL39">
        <v>34.6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f t="shared" si="14"/>
        <v>98.7</v>
      </c>
      <c r="AU39">
        <f t="shared" si="15"/>
        <v>65</v>
      </c>
      <c r="AV39">
        <v>1</v>
      </c>
      <c r="AW39">
        <v>1</v>
      </c>
      <c r="AX39">
        <v>1</v>
      </c>
      <c r="AY39">
        <v>1</v>
      </c>
      <c r="AZ39">
        <v>4.24</v>
      </c>
      <c r="BA39">
        <v>10.54</v>
      </c>
      <c r="BB39">
        <v>4.87</v>
      </c>
      <c r="BC39">
        <v>3.92</v>
      </c>
      <c r="BH39">
        <v>3</v>
      </c>
      <c r="BI39">
        <v>1</v>
      </c>
      <c r="BM39">
        <v>10</v>
      </c>
      <c r="BN39">
        <v>0</v>
      </c>
      <c r="BO39" t="s">
        <v>82</v>
      </c>
      <c r="BP39">
        <v>1</v>
      </c>
      <c r="BQ39">
        <v>2</v>
      </c>
      <c r="BR39">
        <v>0</v>
      </c>
      <c r="BS39">
        <v>10.54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98.7</v>
      </c>
      <c r="CA39">
        <v>65</v>
      </c>
      <c r="CF39">
        <v>0</v>
      </c>
      <c r="CG39">
        <v>0</v>
      </c>
      <c r="CM39">
        <v>1</v>
      </c>
      <c r="CO39">
        <v>0</v>
      </c>
      <c r="CP39">
        <f t="shared" si="16"/>
        <v>13156.36</v>
      </c>
      <c r="CQ39">
        <f t="shared" si="17"/>
        <v>135.632</v>
      </c>
      <c r="CR39">
        <f t="shared" si="18"/>
        <v>0</v>
      </c>
      <c r="CS39">
        <f t="shared" si="19"/>
        <v>0</v>
      </c>
      <c r="CT39">
        <f t="shared" si="20"/>
        <v>0</v>
      </c>
      <c r="CU39">
        <f t="shared" si="21"/>
        <v>0</v>
      </c>
      <c r="CV39">
        <f t="shared" si="22"/>
        <v>0</v>
      </c>
      <c r="CW39">
        <f t="shared" si="23"/>
        <v>0</v>
      </c>
      <c r="CX39">
        <f t="shared" si="24"/>
        <v>0</v>
      </c>
      <c r="CY39">
        <f t="shared" si="25"/>
        <v>0</v>
      </c>
      <c r="CZ39">
        <f t="shared" si="26"/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1005</v>
      </c>
      <c r="DV39" t="s">
        <v>92</v>
      </c>
      <c r="DW39" t="s">
        <v>92</v>
      </c>
      <c r="DX39">
        <v>1</v>
      </c>
      <c r="EE39">
        <v>5677324</v>
      </c>
      <c r="EF39">
        <v>2</v>
      </c>
      <c r="EG39" t="s">
        <v>20</v>
      </c>
      <c r="EH39">
        <v>0</v>
      </c>
      <c r="EJ39">
        <v>1</v>
      </c>
      <c r="EK39">
        <v>10</v>
      </c>
      <c r="EL39" t="s">
        <v>72</v>
      </c>
      <c r="EM39" t="s">
        <v>73</v>
      </c>
      <c r="EQ39">
        <v>0</v>
      </c>
      <c r="ER39">
        <v>34.6</v>
      </c>
      <c r="ES39">
        <v>34.6</v>
      </c>
      <c r="ET39">
        <v>0</v>
      </c>
      <c r="EU39">
        <v>0</v>
      </c>
      <c r="EV39">
        <v>0</v>
      </c>
      <c r="EW39">
        <v>0</v>
      </c>
      <c r="EX39">
        <v>0</v>
      </c>
    </row>
    <row r="40" spans="1:154" ht="12.75">
      <c r="A40">
        <v>18</v>
      </c>
      <c r="B40">
        <v>1</v>
      </c>
      <c r="C40">
        <v>53</v>
      </c>
      <c r="E40" t="s">
        <v>93</v>
      </c>
      <c r="F40" t="s">
        <v>25</v>
      </c>
      <c r="G40" t="s">
        <v>94</v>
      </c>
      <c r="H40" t="s">
        <v>84</v>
      </c>
      <c r="I40">
        <f>I37*J40</f>
        <v>0.98</v>
      </c>
      <c r="J40">
        <v>1</v>
      </c>
      <c r="O40">
        <f t="shared" si="2"/>
        <v>70303.78</v>
      </c>
      <c r="P40">
        <f t="shared" si="3"/>
        <v>70303.78</v>
      </c>
      <c r="Q40">
        <f t="shared" si="4"/>
        <v>0</v>
      </c>
      <c r="R40">
        <f t="shared" si="5"/>
        <v>0</v>
      </c>
      <c r="S40">
        <f t="shared" si="6"/>
        <v>0</v>
      </c>
      <c r="T40">
        <f t="shared" si="7"/>
        <v>0</v>
      </c>
      <c r="U40">
        <f t="shared" si="8"/>
        <v>0</v>
      </c>
      <c r="V40">
        <f t="shared" si="9"/>
        <v>0</v>
      </c>
      <c r="W40">
        <f t="shared" si="10"/>
        <v>0</v>
      </c>
      <c r="X40">
        <f t="shared" si="11"/>
        <v>0</v>
      </c>
      <c r="Y40">
        <f t="shared" si="12"/>
        <v>0</v>
      </c>
      <c r="AA40">
        <v>0</v>
      </c>
      <c r="AB40">
        <f t="shared" si="13"/>
        <v>18300.65</v>
      </c>
      <c r="AC40">
        <f t="shared" si="34"/>
        <v>18300.65</v>
      </c>
      <c r="AD40">
        <f t="shared" si="34"/>
        <v>0</v>
      </c>
      <c r="AE40">
        <f t="shared" si="34"/>
        <v>0</v>
      </c>
      <c r="AF40">
        <f t="shared" si="34"/>
        <v>0</v>
      </c>
      <c r="AG40">
        <f t="shared" si="34"/>
        <v>0</v>
      </c>
      <c r="AH40">
        <f t="shared" si="34"/>
        <v>0</v>
      </c>
      <c r="AI40">
        <f t="shared" si="34"/>
        <v>0</v>
      </c>
      <c r="AJ40">
        <f t="shared" si="34"/>
        <v>0</v>
      </c>
      <c r="AK40">
        <v>18300.65</v>
      </c>
      <c r="AL40">
        <v>18300.65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f t="shared" si="14"/>
        <v>98.7</v>
      </c>
      <c r="AU40">
        <f t="shared" si="15"/>
        <v>65</v>
      </c>
      <c r="AV40">
        <v>1</v>
      </c>
      <c r="AW40">
        <v>1</v>
      </c>
      <c r="AX40">
        <v>1</v>
      </c>
      <c r="AY40">
        <v>1</v>
      </c>
      <c r="AZ40">
        <v>4.24</v>
      </c>
      <c r="BA40">
        <v>10.54</v>
      </c>
      <c r="BB40">
        <v>4.87</v>
      </c>
      <c r="BC40">
        <v>3.92</v>
      </c>
      <c r="BH40">
        <v>3</v>
      </c>
      <c r="BI40">
        <v>1</v>
      </c>
      <c r="BM40">
        <v>10</v>
      </c>
      <c r="BN40">
        <v>0</v>
      </c>
      <c r="BO40" t="s">
        <v>82</v>
      </c>
      <c r="BP40">
        <v>1</v>
      </c>
      <c r="BQ40">
        <v>2</v>
      </c>
      <c r="BR40">
        <v>0</v>
      </c>
      <c r="BS40">
        <v>10.54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98.7</v>
      </c>
      <c r="CA40">
        <v>65</v>
      </c>
      <c r="CF40">
        <v>0</v>
      </c>
      <c r="CG40">
        <v>0</v>
      </c>
      <c r="CM40">
        <v>1</v>
      </c>
      <c r="CO40">
        <v>0</v>
      </c>
      <c r="CP40">
        <f t="shared" si="16"/>
        <v>70303.78</v>
      </c>
      <c r="CQ40">
        <f t="shared" si="17"/>
        <v>71738.54800000001</v>
      </c>
      <c r="CR40">
        <f t="shared" si="18"/>
        <v>0</v>
      </c>
      <c r="CS40">
        <f t="shared" si="19"/>
        <v>0</v>
      </c>
      <c r="CT40">
        <f t="shared" si="20"/>
        <v>0</v>
      </c>
      <c r="CU40">
        <f t="shared" si="21"/>
        <v>0</v>
      </c>
      <c r="CV40">
        <f t="shared" si="22"/>
        <v>0</v>
      </c>
      <c r="CW40">
        <f t="shared" si="23"/>
        <v>0</v>
      </c>
      <c r="CX40">
        <f t="shared" si="24"/>
        <v>0</v>
      </c>
      <c r="CY40">
        <f t="shared" si="25"/>
        <v>0</v>
      </c>
      <c r="CZ40">
        <f t="shared" si="26"/>
        <v>0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1009</v>
      </c>
      <c r="DV40" t="s">
        <v>84</v>
      </c>
      <c r="DW40" t="s">
        <v>84</v>
      </c>
      <c r="DX40">
        <v>1000</v>
      </c>
      <c r="EE40">
        <v>5677324</v>
      </c>
      <c r="EF40">
        <v>2</v>
      </c>
      <c r="EG40" t="s">
        <v>20</v>
      </c>
      <c r="EH40">
        <v>0</v>
      </c>
      <c r="EJ40">
        <v>1</v>
      </c>
      <c r="EK40">
        <v>10</v>
      </c>
      <c r="EL40" t="s">
        <v>72</v>
      </c>
      <c r="EM40" t="s">
        <v>73</v>
      </c>
      <c r="EQ40">
        <v>0</v>
      </c>
      <c r="ER40">
        <v>18300.65</v>
      </c>
      <c r="ES40">
        <v>18300.65</v>
      </c>
      <c r="ET40">
        <v>0</v>
      </c>
      <c r="EU40">
        <v>0</v>
      </c>
      <c r="EV40">
        <v>0</v>
      </c>
      <c r="EW40">
        <v>0</v>
      </c>
      <c r="EX40">
        <v>0</v>
      </c>
    </row>
    <row r="42" spans="1:39" ht="12.75">
      <c r="A42" s="2">
        <v>51</v>
      </c>
      <c r="B42" s="2">
        <f>B20</f>
        <v>1</v>
      </c>
      <c r="C42" s="2">
        <f>A20</f>
        <v>3</v>
      </c>
      <c r="D42" s="2">
        <f>ROW(A20)</f>
        <v>20</v>
      </c>
      <c r="E42" s="2"/>
      <c r="F42" s="2" t="str">
        <f>IF(F20&lt;&gt;"",F20,"")</f>
        <v>Новая локальная смета</v>
      </c>
      <c r="G42" s="2" t="str">
        <f>IF(G20&lt;&gt;"",G20,"")</f>
        <v>Новая локальная смета</v>
      </c>
      <c r="H42" s="2"/>
      <c r="I42" s="2"/>
      <c r="J42" s="2"/>
      <c r="K42" s="2"/>
      <c r="L42" s="2"/>
      <c r="M42" s="2"/>
      <c r="N42" s="2"/>
      <c r="O42" s="2">
        <f aca="true" t="shared" si="35" ref="O42:Y42">ROUND(AB42,2)</f>
        <v>3933690.56</v>
      </c>
      <c r="P42" s="2">
        <f t="shared" si="35"/>
        <v>3685202.66</v>
      </c>
      <c r="Q42" s="2">
        <f t="shared" si="35"/>
        <v>62359.75</v>
      </c>
      <c r="R42" s="2">
        <f t="shared" si="35"/>
        <v>8927.46</v>
      </c>
      <c r="S42" s="2">
        <f t="shared" si="35"/>
        <v>186128.15</v>
      </c>
      <c r="T42" s="2">
        <f t="shared" si="35"/>
        <v>0</v>
      </c>
      <c r="U42" s="2">
        <f t="shared" si="35"/>
        <v>1898.37</v>
      </c>
      <c r="V42" s="2">
        <f t="shared" si="35"/>
        <v>122.34</v>
      </c>
      <c r="W42" s="2">
        <f t="shared" si="35"/>
        <v>0</v>
      </c>
      <c r="X42" s="2">
        <f t="shared" si="35"/>
        <v>200324.61</v>
      </c>
      <c r="Y42" s="2">
        <f t="shared" si="35"/>
        <v>146026.14</v>
      </c>
      <c r="Z42" s="2"/>
      <c r="AA42" s="2"/>
      <c r="AB42" s="2">
        <f>ROUND(SUMIF(AA24:AA40,"=0",O24:O40),2)</f>
        <v>3933690.56</v>
      </c>
      <c r="AC42" s="2">
        <f>ROUND(SUMIF(AA24:AA40,"=0",P24:P40),2)</f>
        <v>3685202.66</v>
      </c>
      <c r="AD42" s="2">
        <f>ROUND(SUMIF(AA24:AA40,"=0",Q24:Q40),2)</f>
        <v>62359.75</v>
      </c>
      <c r="AE42" s="2">
        <f>ROUND(SUMIF(AA24:AA40,"=0",R24:R40),2)</f>
        <v>8927.46</v>
      </c>
      <c r="AF42" s="2">
        <f>ROUND(SUMIF(AA24:AA40,"=0",S24:S40),2)</f>
        <v>186128.15</v>
      </c>
      <c r="AG42" s="2">
        <f>ROUND(SUMIF(AA24:AA40,"=0",T24:T40),2)</f>
        <v>0</v>
      </c>
      <c r="AH42" s="2">
        <f>ROUND(SUMIF(AA24:AA40,"=0",U24:U40),2)</f>
        <v>1898.37</v>
      </c>
      <c r="AI42" s="2">
        <f>ROUND(SUMIF(AA24:AA40,"=0",V24:V40),2)</f>
        <v>122.34</v>
      </c>
      <c r="AJ42" s="2">
        <f>ROUND(SUMIF(AA24:AA40,"=0",W24:W40),2)</f>
        <v>0</v>
      </c>
      <c r="AK42" s="2">
        <f>ROUND(SUMIF(AA24:AA40,"=0",X24:X40),2)</f>
        <v>200324.61</v>
      </c>
      <c r="AL42" s="2">
        <f>ROUND(SUMIF(AA24:AA40,"=0",Y24:Y40),2)</f>
        <v>146026.14</v>
      </c>
      <c r="AM42" s="2">
        <v>0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0</v>
      </c>
      <c r="F44" s="3">
        <f>Source!O42</f>
        <v>3933690.56</v>
      </c>
      <c r="G44" s="3" t="s">
        <v>95</v>
      </c>
      <c r="H44" s="3" t="s">
        <v>96</v>
      </c>
      <c r="I44" s="3"/>
      <c r="J44" s="3"/>
      <c r="K44" s="3">
        <v>201</v>
      </c>
      <c r="L44" s="3">
        <v>1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202</v>
      </c>
      <c r="F45" s="3">
        <f>Source!P42</f>
        <v>3685202.66</v>
      </c>
      <c r="G45" s="3" t="s">
        <v>97</v>
      </c>
      <c r="H45" s="3" t="s">
        <v>98</v>
      </c>
      <c r="I45" s="3"/>
      <c r="J45" s="3"/>
      <c r="K45" s="3">
        <v>202</v>
      </c>
      <c r="L45" s="3">
        <v>2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203</v>
      </c>
      <c r="F46" s="3">
        <f>Source!Q42</f>
        <v>62359.75</v>
      </c>
      <c r="G46" s="3" t="s">
        <v>99</v>
      </c>
      <c r="H46" s="3" t="s">
        <v>100</v>
      </c>
      <c r="I46" s="3"/>
      <c r="J46" s="3"/>
      <c r="K46" s="3">
        <v>203</v>
      </c>
      <c r="L46" s="3">
        <v>3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204</v>
      </c>
      <c r="F47" s="3">
        <f>Source!R42</f>
        <v>8927.46</v>
      </c>
      <c r="G47" s="3" t="s">
        <v>101</v>
      </c>
      <c r="H47" s="3" t="s">
        <v>102</v>
      </c>
      <c r="I47" s="3"/>
      <c r="J47" s="3"/>
      <c r="K47" s="3">
        <v>204</v>
      </c>
      <c r="L47" s="3">
        <v>4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0</v>
      </c>
      <c r="F48" s="3">
        <f>Source!S42</f>
        <v>186128.15</v>
      </c>
      <c r="G48" s="3" t="s">
        <v>103</v>
      </c>
      <c r="H48" s="3" t="s">
        <v>104</v>
      </c>
      <c r="I48" s="3"/>
      <c r="J48" s="3"/>
      <c r="K48" s="3">
        <v>205</v>
      </c>
      <c r="L48" s="3">
        <v>5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206</v>
      </c>
      <c r="F49" s="3">
        <f>Source!T42</f>
        <v>0</v>
      </c>
      <c r="G49" s="3" t="s">
        <v>105</v>
      </c>
      <c r="H49" s="3" t="s">
        <v>106</v>
      </c>
      <c r="I49" s="3"/>
      <c r="J49" s="3"/>
      <c r="K49" s="3">
        <v>206</v>
      </c>
      <c r="L49" s="3">
        <v>6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207</v>
      </c>
      <c r="F50" s="3">
        <f>Source!U42</f>
        <v>1898.37</v>
      </c>
      <c r="G50" s="3" t="s">
        <v>107</v>
      </c>
      <c r="H50" s="3" t="s">
        <v>108</v>
      </c>
      <c r="I50" s="3"/>
      <c r="J50" s="3"/>
      <c r="K50" s="3">
        <v>207</v>
      </c>
      <c r="L50" s="3">
        <v>7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208</v>
      </c>
      <c r="F51" s="3">
        <f>Source!V42</f>
        <v>122.34</v>
      </c>
      <c r="G51" s="3" t="s">
        <v>109</v>
      </c>
      <c r="H51" s="3" t="s">
        <v>110</v>
      </c>
      <c r="I51" s="3"/>
      <c r="J51" s="3"/>
      <c r="K51" s="3">
        <v>208</v>
      </c>
      <c r="L51" s="3">
        <v>8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209</v>
      </c>
      <c r="F52" s="3">
        <f>Source!W42</f>
        <v>0</v>
      </c>
      <c r="G52" s="3" t="s">
        <v>111</v>
      </c>
      <c r="H52" s="3" t="s">
        <v>112</v>
      </c>
      <c r="I52" s="3"/>
      <c r="J52" s="3"/>
      <c r="K52" s="3">
        <v>209</v>
      </c>
      <c r="L52" s="3">
        <v>9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0</v>
      </c>
      <c r="F53" s="3">
        <f>Source!X42</f>
        <v>200324.61</v>
      </c>
      <c r="G53" s="3" t="s">
        <v>113</v>
      </c>
      <c r="H53" s="3" t="s">
        <v>114</v>
      </c>
      <c r="I53" s="3"/>
      <c r="J53" s="3"/>
      <c r="K53" s="3">
        <v>210</v>
      </c>
      <c r="L53" s="3">
        <v>10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0</v>
      </c>
      <c r="F54" s="3">
        <f>Source!Y42</f>
        <v>146026.14</v>
      </c>
      <c r="G54" s="3" t="s">
        <v>115</v>
      </c>
      <c r="H54" s="3" t="s">
        <v>116</v>
      </c>
      <c r="I54" s="3"/>
      <c r="J54" s="3"/>
      <c r="K54" s="3">
        <v>211</v>
      </c>
      <c r="L54" s="3">
        <v>11</v>
      </c>
      <c r="M54" s="3">
        <v>3</v>
      </c>
      <c r="N54" s="3" t="s">
        <v>3</v>
      </c>
    </row>
    <row r="55" spans="1:14" ht="12.75">
      <c r="A55" s="3">
        <v>50</v>
      </c>
      <c r="B55" s="3">
        <v>1</v>
      </c>
      <c r="C55" s="3">
        <v>0</v>
      </c>
      <c r="D55" s="3">
        <v>2</v>
      </c>
      <c r="E55" s="3">
        <v>201</v>
      </c>
      <c r="F55" s="3">
        <f>ROUND(Source!F44,2)</f>
        <v>3933690.56</v>
      </c>
      <c r="G55" s="3" t="s">
        <v>117</v>
      </c>
      <c r="H55" s="3" t="s">
        <v>118</v>
      </c>
      <c r="I55" s="3"/>
      <c r="J55" s="3"/>
      <c r="K55" s="3">
        <v>212</v>
      </c>
      <c r="L55" s="3">
        <v>12</v>
      </c>
      <c r="M55" s="3">
        <v>0</v>
      </c>
      <c r="N55" s="3" t="s">
        <v>3</v>
      </c>
    </row>
    <row r="56" spans="1:14" ht="12.75">
      <c r="A56" s="3">
        <v>50</v>
      </c>
      <c r="B56" s="3">
        <v>1</v>
      </c>
      <c r="C56" s="3">
        <v>0</v>
      </c>
      <c r="D56" s="3">
        <v>2</v>
      </c>
      <c r="E56" s="3">
        <v>210</v>
      </c>
      <c r="F56" s="3">
        <f>ROUND(Source!F53,2)</f>
        <v>200324.61</v>
      </c>
      <c r="G56" s="3" t="s">
        <v>119</v>
      </c>
      <c r="H56" s="3" t="s">
        <v>120</v>
      </c>
      <c r="I56" s="3"/>
      <c r="J56" s="3"/>
      <c r="K56" s="3">
        <v>212</v>
      </c>
      <c r="L56" s="3">
        <v>13</v>
      </c>
      <c r="M56" s="3">
        <v>0</v>
      </c>
      <c r="N56" s="3" t="s">
        <v>3</v>
      </c>
    </row>
    <row r="57" spans="1:14" ht="12.75">
      <c r="A57" s="3">
        <v>50</v>
      </c>
      <c r="B57" s="3">
        <v>1</v>
      </c>
      <c r="C57" s="3">
        <v>0</v>
      </c>
      <c r="D57" s="3">
        <v>2</v>
      </c>
      <c r="E57" s="3">
        <v>211</v>
      </c>
      <c r="F57" s="3">
        <f>ROUND(Source!F54,2)</f>
        <v>146026.14</v>
      </c>
      <c r="G57" s="3" t="s">
        <v>121</v>
      </c>
      <c r="H57" s="3" t="s">
        <v>122</v>
      </c>
      <c r="I57" s="3"/>
      <c r="J57" s="3"/>
      <c r="K57" s="3">
        <v>212</v>
      </c>
      <c r="L57" s="3">
        <v>14</v>
      </c>
      <c r="M57" s="3">
        <v>0</v>
      </c>
      <c r="N57" s="3" t="s">
        <v>3</v>
      </c>
    </row>
    <row r="58" spans="1:14" ht="12.75">
      <c r="A58" s="3">
        <v>50</v>
      </c>
      <c r="B58" s="3">
        <v>1</v>
      </c>
      <c r="C58" s="3">
        <v>0</v>
      </c>
      <c r="D58" s="3">
        <v>2</v>
      </c>
      <c r="E58" s="3">
        <v>0</v>
      </c>
      <c r="F58" s="3">
        <f>ROUND(Source!F55+Source!F56+Source!F57,2)</f>
        <v>4280041.31</v>
      </c>
      <c r="G58" s="3" t="s">
        <v>123</v>
      </c>
      <c r="H58" s="3" t="s">
        <v>124</v>
      </c>
      <c r="I58" s="3"/>
      <c r="J58" s="3"/>
      <c r="K58" s="3">
        <v>212</v>
      </c>
      <c r="L58" s="3">
        <v>15</v>
      </c>
      <c r="M58" s="3">
        <v>0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2</v>
      </c>
      <c r="E59" s="3">
        <v>0</v>
      </c>
      <c r="F59" s="3">
        <f>ROUND(Source!F50+Source!F51,2)</f>
        <v>2020.71</v>
      </c>
      <c r="G59" s="3" t="s">
        <v>125</v>
      </c>
      <c r="H59" s="3" t="s">
        <v>126</v>
      </c>
      <c r="I59" s="3"/>
      <c r="J59" s="3"/>
      <c r="K59" s="3">
        <v>212</v>
      </c>
      <c r="L59" s="3">
        <v>16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2</v>
      </c>
      <c r="E60" s="3">
        <v>205</v>
      </c>
      <c r="F60" s="3">
        <f>ROUND(Source!F48+Source!F47,2)</f>
        <v>195055.61</v>
      </c>
      <c r="G60" s="3" t="s">
        <v>127</v>
      </c>
      <c r="H60" s="3" t="s">
        <v>128</v>
      </c>
      <c r="I60" s="3"/>
      <c r="J60" s="3"/>
      <c r="K60" s="3">
        <v>212</v>
      </c>
      <c r="L60" s="3">
        <v>17</v>
      </c>
      <c r="M60" s="3">
        <v>3</v>
      </c>
      <c r="N60" s="3" t="s">
        <v>3</v>
      </c>
    </row>
    <row r="61" spans="1:14" ht="12.75">
      <c r="A61" s="3">
        <v>50</v>
      </c>
      <c r="B61" s="3">
        <f>IF(Source!F61&lt;&gt;0,1,0)</f>
        <v>1</v>
      </c>
      <c r="C61" s="3">
        <v>0</v>
      </c>
      <c r="D61" s="3">
        <v>2</v>
      </c>
      <c r="E61" s="3">
        <v>0</v>
      </c>
      <c r="F61" s="3">
        <f>ROUND(1.2,2)</f>
        <v>1.2</v>
      </c>
      <c r="G61" s="3" t="s">
        <v>129</v>
      </c>
      <c r="H61" s="3" t="s">
        <v>130</v>
      </c>
      <c r="I61" s="3"/>
      <c r="J61" s="3"/>
      <c r="K61" s="3">
        <v>212</v>
      </c>
      <c r="L61" s="3">
        <v>18</v>
      </c>
      <c r="M61" s="3">
        <v>1</v>
      </c>
      <c r="N61" s="3" t="s">
        <v>131</v>
      </c>
    </row>
    <row r="62" spans="1:14" ht="12.75">
      <c r="A62" s="3">
        <v>50</v>
      </c>
      <c r="B62" s="3">
        <f>IF(Source!F62&lt;&gt;0,1,0)</f>
        <v>1</v>
      </c>
      <c r="C62" s="3">
        <v>0</v>
      </c>
      <c r="D62" s="3">
        <v>2</v>
      </c>
      <c r="E62" s="3">
        <v>0</v>
      </c>
      <c r="F62" s="3">
        <f>ROUND(IF(Source!F61&gt;0,Source!F58*(Source!F61/100+1),0),2)</f>
        <v>4331401.81</v>
      </c>
      <c r="G62" s="3" t="s">
        <v>132</v>
      </c>
      <c r="H62" s="3" t="s">
        <v>133</v>
      </c>
      <c r="I62" s="3"/>
      <c r="J62" s="3"/>
      <c r="K62" s="3">
        <v>212</v>
      </c>
      <c r="L62" s="3">
        <v>19</v>
      </c>
      <c r="M62" s="3">
        <v>1</v>
      </c>
      <c r="N62" s="3" t="s">
        <v>3</v>
      </c>
    </row>
    <row r="63" spans="1:14" ht="12.75">
      <c r="A63" s="3">
        <v>50</v>
      </c>
      <c r="B63" s="3">
        <f>IF(Source!F63&lt;&gt;0,1,0)</f>
        <v>0</v>
      </c>
      <c r="C63" s="3">
        <v>0</v>
      </c>
      <c r="D63" s="3">
        <v>2</v>
      </c>
      <c r="E63" s="3">
        <v>0</v>
      </c>
      <c r="F63" s="3">
        <v>0</v>
      </c>
      <c r="G63" s="3" t="s">
        <v>134</v>
      </c>
      <c r="H63" s="3" t="s">
        <v>135</v>
      </c>
      <c r="I63" s="3"/>
      <c r="J63" s="3"/>
      <c r="K63" s="3">
        <v>212</v>
      </c>
      <c r="L63" s="3">
        <v>20</v>
      </c>
      <c r="M63" s="3">
        <v>1</v>
      </c>
      <c r="N63" s="3" t="s">
        <v>136</v>
      </c>
    </row>
    <row r="64" spans="1:14" ht="12.75">
      <c r="A64" s="3">
        <v>50</v>
      </c>
      <c r="B64" s="3">
        <f>IF(Source!F64&lt;&gt;0,1,0)</f>
        <v>0</v>
      </c>
      <c r="C64" s="3">
        <v>0</v>
      </c>
      <c r="D64" s="3">
        <v>2</v>
      </c>
      <c r="E64" s="3">
        <v>0</v>
      </c>
      <c r="F64" s="3">
        <f>ROUND(IF(Source!F63&gt;0,IF(Source!F61&gt;0,Source!F62*(Source!F63/100+1),Source!F58*(Source!F63/100+1)),0),2)</f>
        <v>0</v>
      </c>
      <c r="G64" s="3" t="s">
        <v>137</v>
      </c>
      <c r="H64" s="3" t="s">
        <v>138</v>
      </c>
      <c r="I64" s="3"/>
      <c r="J64" s="3"/>
      <c r="K64" s="3">
        <v>212</v>
      </c>
      <c r="L64" s="3">
        <v>21</v>
      </c>
      <c r="M64" s="3">
        <v>1</v>
      </c>
      <c r="N64" s="3" t="s">
        <v>3</v>
      </c>
    </row>
    <row r="65" spans="1:14" ht="12.75">
      <c r="A65" s="3">
        <v>50</v>
      </c>
      <c r="B65" s="3">
        <v>1</v>
      </c>
      <c r="C65" s="3">
        <v>0</v>
      </c>
      <c r="D65" s="3">
        <v>2</v>
      </c>
      <c r="E65" s="3">
        <v>0</v>
      </c>
      <c r="F65" s="3">
        <f>ROUND(IF(Source!F64&gt;0,Source!F64*0.18,IF(Source!F61&gt;0,Source!F62*0.18,Source!F58*0.18)),2)</f>
        <v>779652.33</v>
      </c>
      <c r="G65" s="3" t="s">
        <v>139</v>
      </c>
      <c r="H65" s="3" t="s">
        <v>140</v>
      </c>
      <c r="I65" s="3"/>
      <c r="J65" s="3"/>
      <c r="K65" s="3">
        <v>212</v>
      </c>
      <c r="L65" s="3">
        <v>22</v>
      </c>
      <c r="M65" s="3">
        <v>0</v>
      </c>
      <c r="N65" s="3" t="s">
        <v>3</v>
      </c>
    </row>
    <row r="66" spans="1:14" ht="12.75">
      <c r="A66" s="3">
        <v>50</v>
      </c>
      <c r="B66" s="3">
        <v>1</v>
      </c>
      <c r="C66" s="3">
        <v>0</v>
      </c>
      <c r="D66" s="3">
        <v>2</v>
      </c>
      <c r="E66" s="3">
        <v>213</v>
      </c>
      <c r="F66" s="3">
        <f>ROUND(Source!F65/18*100+Source!F65,2)</f>
        <v>5111054.16</v>
      </c>
      <c r="G66" s="3" t="s">
        <v>141</v>
      </c>
      <c r="H66" s="3" t="s">
        <v>141</v>
      </c>
      <c r="I66" s="3"/>
      <c r="J66" s="3"/>
      <c r="K66" s="3">
        <v>212</v>
      </c>
      <c r="L66" s="3">
        <v>23</v>
      </c>
      <c r="M66" s="3">
        <v>0</v>
      </c>
      <c r="N66" s="3" t="s">
        <v>3</v>
      </c>
    </row>
    <row r="68" spans="1:39" ht="12.75">
      <c r="A68" s="2">
        <v>51</v>
      </c>
      <c r="B68" s="2">
        <f>B12</f>
        <v>1</v>
      </c>
      <c r="C68" s="2">
        <f>A12</f>
        <v>1</v>
      </c>
      <c r="D68" s="2">
        <f>ROW(A12)</f>
        <v>12</v>
      </c>
      <c r="E68" s="2"/>
      <c r="F68" s="2" t="str">
        <f>IF(F12&lt;&gt;"",F12,"")</f>
        <v>Новый объект</v>
      </c>
      <c r="G68" s="2" t="str">
        <f>IF(G12&lt;&gt;"",G12,"")</f>
        <v>Монтаж лифтовых шахт</v>
      </c>
      <c r="H68" s="2"/>
      <c r="I68" s="2"/>
      <c r="J68" s="2"/>
      <c r="K68" s="2"/>
      <c r="L68" s="2"/>
      <c r="M68" s="2"/>
      <c r="N68" s="2"/>
      <c r="O68" s="2">
        <f aca="true" t="shared" si="36" ref="O68:Y68">ROUND(O42,2)</f>
        <v>3933690.56</v>
      </c>
      <c r="P68" s="2">
        <f t="shared" si="36"/>
        <v>3685202.66</v>
      </c>
      <c r="Q68" s="2">
        <f t="shared" si="36"/>
        <v>62359.75</v>
      </c>
      <c r="R68" s="2">
        <f t="shared" si="36"/>
        <v>8927.46</v>
      </c>
      <c r="S68" s="2">
        <f t="shared" si="36"/>
        <v>186128.15</v>
      </c>
      <c r="T68" s="2">
        <f t="shared" si="36"/>
        <v>0</v>
      </c>
      <c r="U68" s="2">
        <f t="shared" si="36"/>
        <v>1898.37</v>
      </c>
      <c r="V68" s="2">
        <f t="shared" si="36"/>
        <v>122.34</v>
      </c>
      <c r="W68" s="2">
        <f t="shared" si="36"/>
        <v>0</v>
      </c>
      <c r="X68" s="2">
        <f t="shared" si="36"/>
        <v>200324.61</v>
      </c>
      <c r="Y68" s="2">
        <f t="shared" si="36"/>
        <v>146026.14</v>
      </c>
      <c r="Z68" s="2"/>
      <c r="AA68" s="2"/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0</v>
      </c>
      <c r="F70" s="3">
        <f>Source!O68</f>
        <v>3933690.56</v>
      </c>
      <c r="G70" s="3" t="s">
        <v>95</v>
      </c>
      <c r="H70" s="3" t="s">
        <v>96</v>
      </c>
      <c r="I70" s="3"/>
      <c r="J70" s="3"/>
      <c r="K70" s="3">
        <v>201</v>
      </c>
      <c r="L70" s="3">
        <v>1</v>
      </c>
      <c r="M70" s="3">
        <v>3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202</v>
      </c>
      <c r="F71" s="3">
        <f>Source!P68</f>
        <v>3685202.66</v>
      </c>
      <c r="G71" s="3" t="s">
        <v>97</v>
      </c>
      <c r="H71" s="3" t="s">
        <v>98</v>
      </c>
      <c r="I71" s="3"/>
      <c r="J71" s="3"/>
      <c r="K71" s="3">
        <v>202</v>
      </c>
      <c r="L71" s="3">
        <v>2</v>
      </c>
      <c r="M71" s="3">
        <v>3</v>
      </c>
      <c r="N71" s="3" t="s">
        <v>3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203</v>
      </c>
      <c r="F72" s="3">
        <f>Source!Q68</f>
        <v>62359.75</v>
      </c>
      <c r="G72" s="3" t="s">
        <v>99</v>
      </c>
      <c r="H72" s="3" t="s">
        <v>100</v>
      </c>
      <c r="I72" s="3"/>
      <c r="J72" s="3"/>
      <c r="K72" s="3">
        <v>203</v>
      </c>
      <c r="L72" s="3">
        <v>3</v>
      </c>
      <c r="M72" s="3">
        <v>3</v>
      </c>
      <c r="N72" s="3" t="s">
        <v>3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204</v>
      </c>
      <c r="F73" s="3">
        <f>Source!R68</f>
        <v>8927.46</v>
      </c>
      <c r="G73" s="3" t="s">
        <v>101</v>
      </c>
      <c r="H73" s="3" t="s">
        <v>102</v>
      </c>
      <c r="I73" s="3"/>
      <c r="J73" s="3"/>
      <c r="K73" s="3">
        <v>204</v>
      </c>
      <c r="L73" s="3">
        <v>4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0</v>
      </c>
      <c r="F74" s="3">
        <f>Source!S68</f>
        <v>186128.15</v>
      </c>
      <c r="G74" s="3" t="s">
        <v>103</v>
      </c>
      <c r="H74" s="3" t="s">
        <v>104</v>
      </c>
      <c r="I74" s="3"/>
      <c r="J74" s="3"/>
      <c r="K74" s="3">
        <v>205</v>
      </c>
      <c r="L74" s="3">
        <v>5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206</v>
      </c>
      <c r="F75" s="3">
        <f>Source!T68</f>
        <v>0</v>
      </c>
      <c r="G75" s="3" t="s">
        <v>105</v>
      </c>
      <c r="H75" s="3" t="s">
        <v>106</v>
      </c>
      <c r="I75" s="3"/>
      <c r="J75" s="3"/>
      <c r="K75" s="3">
        <v>206</v>
      </c>
      <c r="L75" s="3">
        <v>6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207</v>
      </c>
      <c r="F76" s="3">
        <f>Source!U68</f>
        <v>1898.37</v>
      </c>
      <c r="G76" s="3" t="s">
        <v>107</v>
      </c>
      <c r="H76" s="3" t="s">
        <v>108</v>
      </c>
      <c r="I76" s="3"/>
      <c r="J76" s="3"/>
      <c r="K76" s="3">
        <v>207</v>
      </c>
      <c r="L76" s="3">
        <v>7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208</v>
      </c>
      <c r="F77" s="3">
        <f>Source!V68</f>
        <v>122.34</v>
      </c>
      <c r="G77" s="3" t="s">
        <v>109</v>
      </c>
      <c r="H77" s="3" t="s">
        <v>110</v>
      </c>
      <c r="I77" s="3"/>
      <c r="J77" s="3"/>
      <c r="K77" s="3">
        <v>208</v>
      </c>
      <c r="L77" s="3">
        <v>8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209</v>
      </c>
      <c r="F78" s="3">
        <f>Source!W68</f>
        <v>0</v>
      </c>
      <c r="G78" s="3" t="s">
        <v>111</v>
      </c>
      <c r="H78" s="3" t="s">
        <v>112</v>
      </c>
      <c r="I78" s="3"/>
      <c r="J78" s="3"/>
      <c r="K78" s="3">
        <v>209</v>
      </c>
      <c r="L78" s="3">
        <v>9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0</v>
      </c>
      <c r="F79" s="3">
        <f>Source!X68</f>
        <v>200324.61</v>
      </c>
      <c r="G79" s="3" t="s">
        <v>113</v>
      </c>
      <c r="H79" s="3" t="s">
        <v>114</v>
      </c>
      <c r="I79" s="3"/>
      <c r="J79" s="3"/>
      <c r="K79" s="3">
        <v>210</v>
      </c>
      <c r="L79" s="3">
        <v>10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0</v>
      </c>
      <c r="F80" s="3">
        <f>Source!Y68</f>
        <v>146026.14</v>
      </c>
      <c r="G80" s="3" t="s">
        <v>115</v>
      </c>
      <c r="H80" s="3" t="s">
        <v>116</v>
      </c>
      <c r="I80" s="3"/>
      <c r="J80" s="3"/>
      <c r="K80" s="3">
        <v>211</v>
      </c>
      <c r="L80" s="3">
        <v>11</v>
      </c>
      <c r="M80" s="3">
        <v>3</v>
      </c>
      <c r="N80" s="3" t="s">
        <v>3</v>
      </c>
    </row>
    <row r="81" spans="1:14" ht="12.75">
      <c r="A81" s="3">
        <v>50</v>
      </c>
      <c r="B81" s="3">
        <v>1</v>
      </c>
      <c r="C81" s="3">
        <v>0</v>
      </c>
      <c r="D81" s="3">
        <v>2</v>
      </c>
      <c r="E81" s="3">
        <v>201</v>
      </c>
      <c r="F81" s="3">
        <f>ROUND(Source!F70,2)</f>
        <v>3933690.56</v>
      </c>
      <c r="G81" s="3" t="s">
        <v>117</v>
      </c>
      <c r="H81" s="3" t="s">
        <v>118</v>
      </c>
      <c r="I81" s="3"/>
      <c r="J81" s="3"/>
      <c r="K81" s="3">
        <v>212</v>
      </c>
      <c r="L81" s="3">
        <v>12</v>
      </c>
      <c r="M81" s="3">
        <v>0</v>
      </c>
      <c r="N81" s="3" t="s">
        <v>3</v>
      </c>
    </row>
    <row r="82" spans="1:14" ht="12.75">
      <c r="A82" s="3">
        <v>50</v>
      </c>
      <c r="B82" s="3">
        <v>1</v>
      </c>
      <c r="C82" s="3">
        <v>0</v>
      </c>
      <c r="D82" s="3">
        <v>2</v>
      </c>
      <c r="E82" s="3">
        <v>210</v>
      </c>
      <c r="F82" s="3">
        <f>ROUND(Source!F79,2)</f>
        <v>200324.61</v>
      </c>
      <c r="G82" s="3" t="s">
        <v>119</v>
      </c>
      <c r="H82" s="3" t="s">
        <v>120</v>
      </c>
      <c r="I82" s="3"/>
      <c r="J82" s="3"/>
      <c r="K82" s="3">
        <v>212</v>
      </c>
      <c r="L82" s="3">
        <v>13</v>
      </c>
      <c r="M82" s="3">
        <v>0</v>
      </c>
      <c r="N82" s="3" t="s">
        <v>3</v>
      </c>
    </row>
    <row r="83" spans="1:14" ht="12.75">
      <c r="A83" s="3">
        <v>50</v>
      </c>
      <c r="B83" s="3">
        <v>1</v>
      </c>
      <c r="C83" s="3">
        <v>0</v>
      </c>
      <c r="D83" s="3">
        <v>2</v>
      </c>
      <c r="E83" s="3">
        <v>211</v>
      </c>
      <c r="F83" s="3">
        <f>ROUND(Source!F80,2)</f>
        <v>146026.14</v>
      </c>
      <c r="G83" s="3" t="s">
        <v>121</v>
      </c>
      <c r="H83" s="3" t="s">
        <v>122</v>
      </c>
      <c r="I83" s="3"/>
      <c r="J83" s="3"/>
      <c r="K83" s="3">
        <v>212</v>
      </c>
      <c r="L83" s="3">
        <v>14</v>
      </c>
      <c r="M83" s="3">
        <v>0</v>
      </c>
      <c r="N83" s="3" t="s">
        <v>3</v>
      </c>
    </row>
    <row r="84" spans="1:14" ht="12.75">
      <c r="A84" s="3">
        <v>50</v>
      </c>
      <c r="B84" s="3">
        <v>1</v>
      </c>
      <c r="C84" s="3">
        <v>0</v>
      </c>
      <c r="D84" s="3">
        <v>2</v>
      </c>
      <c r="E84" s="3">
        <v>0</v>
      </c>
      <c r="F84" s="3">
        <f>ROUND(Source!F81+Source!F82+Source!F83,2)</f>
        <v>4280041.31</v>
      </c>
      <c r="G84" s="3" t="s">
        <v>123</v>
      </c>
      <c r="H84" s="3" t="s">
        <v>124</v>
      </c>
      <c r="I84" s="3"/>
      <c r="J84" s="3"/>
      <c r="K84" s="3">
        <v>212</v>
      </c>
      <c r="L84" s="3">
        <v>15</v>
      </c>
      <c r="M84" s="3">
        <v>0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2</v>
      </c>
      <c r="E85" s="3">
        <v>0</v>
      </c>
      <c r="F85" s="3">
        <f>ROUND(Source!F76+Source!F77,2)</f>
        <v>2020.71</v>
      </c>
      <c r="G85" s="3" t="s">
        <v>125</v>
      </c>
      <c r="H85" s="3" t="s">
        <v>126</v>
      </c>
      <c r="I85" s="3"/>
      <c r="J85" s="3"/>
      <c r="K85" s="3">
        <v>212</v>
      </c>
      <c r="L85" s="3">
        <v>16</v>
      </c>
      <c r="M85" s="3">
        <v>3</v>
      </c>
      <c r="N85" s="3" t="s">
        <v>3</v>
      </c>
    </row>
    <row r="86" spans="1:14" ht="12.75">
      <c r="A86" s="3">
        <v>50</v>
      </c>
      <c r="B86" s="3">
        <v>0</v>
      </c>
      <c r="C86" s="3">
        <v>0</v>
      </c>
      <c r="D86" s="3">
        <v>2</v>
      </c>
      <c r="E86" s="3">
        <v>205</v>
      </c>
      <c r="F86" s="3">
        <f>ROUND(Source!F74+Source!F73,2)</f>
        <v>195055.61</v>
      </c>
      <c r="G86" s="3" t="s">
        <v>127</v>
      </c>
      <c r="H86" s="3" t="s">
        <v>128</v>
      </c>
      <c r="I86" s="3"/>
      <c r="J86" s="3"/>
      <c r="K86" s="3">
        <v>212</v>
      </c>
      <c r="L86" s="3">
        <v>17</v>
      </c>
      <c r="M86" s="3">
        <v>3</v>
      </c>
      <c r="N86" s="3" t="s">
        <v>3</v>
      </c>
    </row>
    <row r="87" spans="1:14" ht="12.75">
      <c r="A87" s="3">
        <v>50</v>
      </c>
      <c r="B87" s="3">
        <f>IF(Source!F87&lt;&gt;0,1,0)</f>
        <v>1</v>
      </c>
      <c r="C87" s="3">
        <v>0</v>
      </c>
      <c r="D87" s="3">
        <v>2</v>
      </c>
      <c r="E87" s="3">
        <v>0</v>
      </c>
      <c r="F87" s="3">
        <f>ROUND(1.2,2)</f>
        <v>1.2</v>
      </c>
      <c r="G87" s="3" t="s">
        <v>129</v>
      </c>
      <c r="H87" s="3" t="s">
        <v>130</v>
      </c>
      <c r="I87" s="3"/>
      <c r="J87" s="3"/>
      <c r="K87" s="3">
        <v>212</v>
      </c>
      <c r="L87" s="3">
        <v>18</v>
      </c>
      <c r="M87" s="3">
        <v>1</v>
      </c>
      <c r="N87" s="3" t="s">
        <v>131</v>
      </c>
    </row>
    <row r="88" spans="1:14" ht="12.75">
      <c r="A88" s="3">
        <v>50</v>
      </c>
      <c r="B88" s="3">
        <f>IF(Source!F88&lt;&gt;0,1,0)</f>
        <v>1</v>
      </c>
      <c r="C88" s="3">
        <v>0</v>
      </c>
      <c r="D88" s="3">
        <v>2</v>
      </c>
      <c r="E88" s="3">
        <v>0</v>
      </c>
      <c r="F88" s="3">
        <f>ROUND(IF(Source!F87&gt;0,Source!F84*(Source!F87/100+1),0),2)</f>
        <v>4331401.81</v>
      </c>
      <c r="G88" s="3" t="s">
        <v>132</v>
      </c>
      <c r="H88" s="3" t="s">
        <v>133</v>
      </c>
      <c r="I88" s="3"/>
      <c r="J88" s="3"/>
      <c r="K88" s="3">
        <v>212</v>
      </c>
      <c r="L88" s="3">
        <v>19</v>
      </c>
      <c r="M88" s="3">
        <v>1</v>
      </c>
      <c r="N88" s="3" t="s">
        <v>3</v>
      </c>
    </row>
    <row r="89" spans="1:14" ht="12.75">
      <c r="A89" s="3">
        <v>50</v>
      </c>
      <c r="B89" s="3">
        <f>IF(Source!F89&lt;&gt;0,1,0)</f>
        <v>0</v>
      </c>
      <c r="C89" s="3">
        <v>0</v>
      </c>
      <c r="D89" s="3">
        <v>2</v>
      </c>
      <c r="E89" s="3">
        <v>0</v>
      </c>
      <c r="F89" s="3">
        <v>0</v>
      </c>
      <c r="G89" s="3" t="s">
        <v>134</v>
      </c>
      <c r="H89" s="3" t="s">
        <v>135</v>
      </c>
      <c r="I89" s="3"/>
      <c r="J89" s="3"/>
      <c r="K89" s="3">
        <v>212</v>
      </c>
      <c r="L89" s="3">
        <v>20</v>
      </c>
      <c r="M89" s="3">
        <v>1</v>
      </c>
      <c r="N89" s="3" t="s">
        <v>136</v>
      </c>
    </row>
    <row r="90" spans="1:14" ht="12.75">
      <c r="A90" s="3">
        <v>50</v>
      </c>
      <c r="B90" s="3">
        <f>IF(Source!F90&lt;&gt;0,1,0)</f>
        <v>0</v>
      </c>
      <c r="C90" s="3">
        <v>0</v>
      </c>
      <c r="D90" s="3">
        <v>2</v>
      </c>
      <c r="E90" s="3">
        <v>0</v>
      </c>
      <c r="F90" s="3">
        <f>ROUND(IF(Source!F89&gt;0,IF(Source!F87&gt;0,Source!F88*(Source!F89/100+1),Source!F84*(Source!F89/100+1)),0),2)</f>
        <v>0</v>
      </c>
      <c r="G90" s="3" t="s">
        <v>137</v>
      </c>
      <c r="H90" s="3" t="s">
        <v>138</v>
      </c>
      <c r="I90" s="3"/>
      <c r="J90" s="3"/>
      <c r="K90" s="3">
        <v>212</v>
      </c>
      <c r="L90" s="3">
        <v>21</v>
      </c>
      <c r="M90" s="3">
        <v>1</v>
      </c>
      <c r="N90" s="3" t="s">
        <v>3</v>
      </c>
    </row>
    <row r="91" spans="1:14" ht="12.75">
      <c r="A91" s="3">
        <v>50</v>
      </c>
      <c r="B91" s="3">
        <v>1</v>
      </c>
      <c r="C91" s="3">
        <v>0</v>
      </c>
      <c r="D91" s="3">
        <v>2</v>
      </c>
      <c r="E91" s="3">
        <v>0</v>
      </c>
      <c r="F91" s="3">
        <f>ROUND(IF(Source!F90&gt;0,Source!F90*0.18,IF(Source!F87&gt;0,Source!F88*0.18,Source!F84*0.18)),2)</f>
        <v>779652.33</v>
      </c>
      <c r="G91" s="3" t="s">
        <v>139</v>
      </c>
      <c r="H91" s="3" t="s">
        <v>140</v>
      </c>
      <c r="I91" s="3"/>
      <c r="J91" s="3"/>
      <c r="K91" s="3">
        <v>212</v>
      </c>
      <c r="L91" s="3">
        <v>22</v>
      </c>
      <c r="M91" s="3">
        <v>0</v>
      </c>
      <c r="N91" s="3" t="s">
        <v>3</v>
      </c>
    </row>
    <row r="92" spans="1:14" ht="12.75">
      <c r="A92" s="3">
        <v>50</v>
      </c>
      <c r="B92" s="3">
        <v>1</v>
      </c>
      <c r="C92" s="3">
        <v>0</v>
      </c>
      <c r="D92" s="3">
        <v>2</v>
      </c>
      <c r="E92" s="3">
        <v>213</v>
      </c>
      <c r="F92" s="3">
        <f>ROUND(Source!F91/18*100+Source!F91,2)</f>
        <v>5111054.16</v>
      </c>
      <c r="G92" s="3" t="s">
        <v>141</v>
      </c>
      <c r="H92" s="3" t="s">
        <v>141</v>
      </c>
      <c r="I92" s="3"/>
      <c r="J92" s="3"/>
      <c r="K92" s="3">
        <v>212</v>
      </c>
      <c r="L92" s="3">
        <v>23</v>
      </c>
      <c r="M92" s="3">
        <v>0</v>
      </c>
      <c r="N92" s="3" t="s">
        <v>3</v>
      </c>
    </row>
    <row r="95" spans="1:15" ht="12.75">
      <c r="A95">
        <v>70</v>
      </c>
      <c r="B95">
        <v>1</v>
      </c>
      <c r="D95">
        <v>0</v>
      </c>
      <c r="E95" t="s">
        <v>142</v>
      </c>
      <c r="F95" t="s">
        <v>143</v>
      </c>
      <c r="G95">
        <v>1</v>
      </c>
      <c r="H95">
        <v>0.85</v>
      </c>
      <c r="I95" t="s">
        <v>144</v>
      </c>
      <c r="J95">
        <v>0</v>
      </c>
      <c r="K95">
        <v>0</v>
      </c>
      <c r="N95">
        <v>0</v>
      </c>
    </row>
    <row r="96" spans="1:15" ht="12.75">
      <c r="A96">
        <v>70</v>
      </c>
      <c r="B96">
        <v>1</v>
      </c>
      <c r="D96">
        <v>0</v>
      </c>
      <c r="E96" t="s">
        <v>145</v>
      </c>
      <c r="F96" t="s">
        <v>146</v>
      </c>
      <c r="G96">
        <v>0.94</v>
      </c>
      <c r="H96">
        <v>0.94</v>
      </c>
      <c r="I96" t="s">
        <v>147</v>
      </c>
      <c r="J96">
        <v>0</v>
      </c>
      <c r="K96">
        <v>0</v>
      </c>
      <c r="N96">
        <v>0</v>
      </c>
    </row>
    <row r="97" spans="1:15" ht="12.75">
      <c r="A97">
        <v>70</v>
      </c>
      <c r="B97">
        <v>1</v>
      </c>
      <c r="D97">
        <v>1</v>
      </c>
      <c r="E97" t="s">
        <v>148</v>
      </c>
      <c r="F97" t="s">
        <v>149</v>
      </c>
      <c r="G97">
        <v>1</v>
      </c>
      <c r="H97">
        <v>1</v>
      </c>
      <c r="I97" t="s">
        <v>150</v>
      </c>
      <c r="J97">
        <v>0</v>
      </c>
      <c r="K97">
        <v>0</v>
      </c>
      <c r="N97">
        <v>0</v>
      </c>
    </row>
    <row r="98" spans="1:15" ht="12.75">
      <c r="A98">
        <v>70</v>
      </c>
      <c r="B98">
        <v>1</v>
      </c>
      <c r="D98">
        <v>55</v>
      </c>
      <c r="E98" t="s">
        <v>151</v>
      </c>
      <c r="F98" t="s">
        <v>152</v>
      </c>
      <c r="G98">
        <v>1</v>
      </c>
      <c r="H98">
        <v>1</v>
      </c>
      <c r="I98" t="s">
        <v>153</v>
      </c>
      <c r="J98">
        <v>0</v>
      </c>
      <c r="K98">
        <v>0</v>
      </c>
      <c r="N98">
        <v>0</v>
      </c>
    </row>
    <row r="99" spans="1:15" ht="12.75">
      <c r="A99">
        <v>70</v>
      </c>
      <c r="B99">
        <v>1</v>
      </c>
      <c r="D99">
        <v>0</v>
      </c>
      <c r="E99" t="s">
        <v>154</v>
      </c>
      <c r="F99" t="s">
        <v>155</v>
      </c>
      <c r="G99">
        <v>0</v>
      </c>
      <c r="H99">
        <v>0</v>
      </c>
      <c r="I99" t="s">
        <v>156</v>
      </c>
      <c r="J99">
        <v>0</v>
      </c>
      <c r="K99">
        <v>0</v>
      </c>
      <c r="N99">
        <v>0</v>
      </c>
    </row>
    <row r="100" spans="1:15" ht="12.75">
      <c r="A100">
        <v>70</v>
      </c>
      <c r="B100">
        <v>1</v>
      </c>
      <c r="D100">
        <v>52</v>
      </c>
      <c r="E100" t="s">
        <v>157</v>
      </c>
      <c r="F100" t="s">
        <v>158</v>
      </c>
      <c r="G100">
        <v>1</v>
      </c>
      <c r="H100">
        <v>1</v>
      </c>
      <c r="I100" t="s">
        <v>159</v>
      </c>
      <c r="J100">
        <v>0</v>
      </c>
      <c r="K100">
        <v>0</v>
      </c>
      <c r="N100">
        <v>0</v>
      </c>
    </row>
    <row r="101" spans="1:15" ht="12.75">
      <c r="A101">
        <v>70</v>
      </c>
      <c r="B101">
        <v>1</v>
      </c>
      <c r="D101">
        <v>56</v>
      </c>
      <c r="E101" t="s">
        <v>160</v>
      </c>
      <c r="F101" t="s">
        <v>161</v>
      </c>
      <c r="G101">
        <v>1</v>
      </c>
      <c r="H101">
        <v>1</v>
      </c>
      <c r="I101" t="s">
        <v>162</v>
      </c>
      <c r="J101">
        <v>0</v>
      </c>
      <c r="K101">
        <v>0</v>
      </c>
      <c r="N101">
        <v>0</v>
      </c>
    </row>
    <row r="102" spans="1:15" ht="12.75">
      <c r="A102">
        <v>70</v>
      </c>
      <c r="B102">
        <v>1</v>
      </c>
      <c r="D102">
        <v>53</v>
      </c>
      <c r="E102" t="s">
        <v>163</v>
      </c>
      <c r="F102" t="s">
        <v>164</v>
      </c>
      <c r="G102">
        <v>0</v>
      </c>
      <c r="H102">
        <v>0</v>
      </c>
      <c r="I102" t="s">
        <v>165</v>
      </c>
      <c r="J102">
        <v>0</v>
      </c>
      <c r="K102">
        <v>0</v>
      </c>
      <c r="N102">
        <v>0</v>
      </c>
    </row>
    <row r="103" spans="1:15" ht="12.75">
      <c r="A103">
        <v>70</v>
      </c>
      <c r="B103">
        <v>1</v>
      </c>
      <c r="D103">
        <v>24</v>
      </c>
      <c r="E103" t="s">
        <v>166</v>
      </c>
      <c r="F103" t="s">
        <v>167</v>
      </c>
      <c r="G103">
        <v>1</v>
      </c>
      <c r="H103">
        <v>1.68</v>
      </c>
      <c r="I103" t="s">
        <v>168</v>
      </c>
      <c r="J103">
        <v>0</v>
      </c>
      <c r="K103">
        <v>0</v>
      </c>
      <c r="N103">
        <v>0</v>
      </c>
    </row>
    <row r="104" spans="1:15" ht="12.75">
      <c r="A104">
        <v>70</v>
      </c>
      <c r="B104">
        <v>1</v>
      </c>
      <c r="D104">
        <v>25</v>
      </c>
      <c r="E104" t="s">
        <v>169</v>
      </c>
      <c r="F104" t="s">
        <v>170</v>
      </c>
      <c r="G104">
        <v>1</v>
      </c>
      <c r="H104">
        <v>2.05</v>
      </c>
      <c r="I104" t="s">
        <v>171</v>
      </c>
      <c r="J104">
        <v>0</v>
      </c>
      <c r="K104">
        <v>0</v>
      </c>
      <c r="N104">
        <v>0</v>
      </c>
    </row>
    <row r="105" spans="1:15" ht="12.75">
      <c r="A105">
        <v>70</v>
      </c>
      <c r="B105">
        <v>1</v>
      </c>
      <c r="D105">
        <v>26</v>
      </c>
      <c r="E105" t="s">
        <v>172</v>
      </c>
      <c r="F105" t="s">
        <v>173</v>
      </c>
      <c r="G105">
        <v>1</v>
      </c>
      <c r="H105">
        <v>2.4</v>
      </c>
      <c r="I105" t="s">
        <v>174</v>
      </c>
      <c r="J105">
        <v>0</v>
      </c>
      <c r="K105">
        <v>0</v>
      </c>
      <c r="N105">
        <v>0</v>
      </c>
    </row>
    <row r="106" spans="1:15" ht="12.75">
      <c r="A106">
        <v>70</v>
      </c>
      <c r="B106">
        <v>1</v>
      </c>
      <c r="D106">
        <v>27</v>
      </c>
      <c r="E106" t="s">
        <v>175</v>
      </c>
      <c r="F106" t="s">
        <v>176</v>
      </c>
      <c r="G106">
        <v>1</v>
      </c>
      <c r="H106">
        <v>2.8</v>
      </c>
      <c r="I106" t="s">
        <v>177</v>
      </c>
      <c r="J106">
        <v>0</v>
      </c>
      <c r="K106">
        <v>0</v>
      </c>
      <c r="N106">
        <v>0</v>
      </c>
    </row>
    <row r="107" spans="1:15" ht="12.75">
      <c r="A107">
        <v>70</v>
      </c>
      <c r="B107">
        <v>1</v>
      </c>
      <c r="D107">
        <v>54</v>
      </c>
      <c r="E107" t="s">
        <v>178</v>
      </c>
      <c r="F107" t="s">
        <v>179</v>
      </c>
      <c r="G107">
        <v>0</v>
      </c>
      <c r="H107">
        <v>0</v>
      </c>
      <c r="I107" t="s">
        <v>165</v>
      </c>
      <c r="J107">
        <v>0</v>
      </c>
      <c r="K107">
        <v>0</v>
      </c>
      <c r="N107">
        <v>0</v>
      </c>
    </row>
    <row r="108" spans="1:15" ht="12.75">
      <c r="A108">
        <v>70</v>
      </c>
      <c r="B108">
        <v>1</v>
      </c>
      <c r="D108">
        <v>28</v>
      </c>
      <c r="E108" t="s">
        <v>180</v>
      </c>
      <c r="F108" t="s">
        <v>181</v>
      </c>
      <c r="G108">
        <v>1</v>
      </c>
      <c r="H108">
        <v>3</v>
      </c>
      <c r="I108" t="s">
        <v>182</v>
      </c>
      <c r="J108">
        <v>0</v>
      </c>
      <c r="K108">
        <v>0</v>
      </c>
      <c r="N108">
        <v>0</v>
      </c>
    </row>
    <row r="109" spans="1:15" ht="12.75">
      <c r="A109">
        <v>70</v>
      </c>
      <c r="B109">
        <v>1</v>
      </c>
      <c r="D109">
        <v>29</v>
      </c>
      <c r="E109" t="s">
        <v>183</v>
      </c>
      <c r="F109" t="s">
        <v>184</v>
      </c>
      <c r="G109">
        <v>1</v>
      </c>
      <c r="H109">
        <v>2</v>
      </c>
      <c r="I109" t="s">
        <v>185</v>
      </c>
      <c r="J109">
        <v>0</v>
      </c>
      <c r="K109">
        <v>0</v>
      </c>
      <c r="N109">
        <v>0</v>
      </c>
    </row>
    <row r="110" spans="1:15" ht="12.75">
      <c r="A110">
        <v>70</v>
      </c>
      <c r="B110">
        <v>1</v>
      </c>
      <c r="D110">
        <v>2</v>
      </c>
      <c r="E110" t="s">
        <v>186</v>
      </c>
      <c r="F110" t="s">
        <v>187</v>
      </c>
      <c r="G110">
        <v>1</v>
      </c>
      <c r="H110">
        <v>1.2</v>
      </c>
      <c r="I110" t="s">
        <v>188</v>
      </c>
      <c r="J110">
        <v>0</v>
      </c>
      <c r="K110">
        <v>0</v>
      </c>
      <c r="N110">
        <v>0</v>
      </c>
    </row>
    <row r="111" spans="1:15" ht="12.75">
      <c r="A111">
        <v>70</v>
      </c>
      <c r="B111">
        <v>1</v>
      </c>
      <c r="D111">
        <v>4</v>
      </c>
      <c r="E111" t="s">
        <v>189</v>
      </c>
      <c r="F111" t="s">
        <v>190</v>
      </c>
      <c r="G111">
        <v>1</v>
      </c>
      <c r="H111">
        <v>1.2</v>
      </c>
      <c r="I111" t="s">
        <v>191</v>
      </c>
      <c r="J111">
        <v>0</v>
      </c>
      <c r="K111">
        <v>0</v>
      </c>
      <c r="N111">
        <v>0</v>
      </c>
    </row>
    <row r="112" spans="1:15" ht="12.75">
      <c r="A112">
        <v>70</v>
      </c>
      <c r="B112">
        <v>1</v>
      </c>
      <c r="D112">
        <v>3</v>
      </c>
      <c r="E112" t="s">
        <v>192</v>
      </c>
      <c r="F112" t="s">
        <v>193</v>
      </c>
      <c r="G112">
        <v>1</v>
      </c>
      <c r="H112">
        <v>1.35</v>
      </c>
      <c r="I112" t="s">
        <v>194</v>
      </c>
      <c r="J112">
        <v>0</v>
      </c>
      <c r="K112">
        <v>0</v>
      </c>
      <c r="N112">
        <v>0</v>
      </c>
    </row>
    <row r="113" spans="1:15" ht="12.75">
      <c r="A113">
        <v>70</v>
      </c>
      <c r="B113">
        <v>1</v>
      </c>
      <c r="D113">
        <v>6</v>
      </c>
      <c r="E113" t="s">
        <v>195</v>
      </c>
      <c r="F113" t="s">
        <v>196</v>
      </c>
      <c r="G113">
        <v>1</v>
      </c>
      <c r="H113">
        <v>1.5</v>
      </c>
      <c r="I113" t="s">
        <v>197</v>
      </c>
      <c r="J113">
        <v>0</v>
      </c>
      <c r="K113">
        <v>0</v>
      </c>
      <c r="N113">
        <v>0</v>
      </c>
    </row>
    <row r="114" spans="1:15" ht="12.75">
      <c r="A114">
        <v>70</v>
      </c>
      <c r="B114">
        <v>1</v>
      </c>
      <c r="D114">
        <v>7</v>
      </c>
      <c r="E114" t="s">
        <v>198</v>
      </c>
      <c r="F114" t="s">
        <v>199</v>
      </c>
      <c r="G114">
        <v>1</v>
      </c>
      <c r="H114">
        <v>1.5</v>
      </c>
      <c r="I114" t="s">
        <v>200</v>
      </c>
      <c r="J114">
        <v>0</v>
      </c>
      <c r="K114">
        <v>0</v>
      </c>
      <c r="N114">
        <v>0</v>
      </c>
    </row>
    <row r="115" spans="1:15" ht="12.75">
      <c r="A115">
        <v>70</v>
      </c>
      <c r="B115">
        <v>1</v>
      </c>
      <c r="D115">
        <v>8</v>
      </c>
      <c r="E115" t="s">
        <v>201</v>
      </c>
      <c r="F115" t="s">
        <v>202</v>
      </c>
      <c r="G115">
        <v>1</v>
      </c>
      <c r="H115">
        <v>1.35</v>
      </c>
      <c r="I115" t="s">
        <v>203</v>
      </c>
      <c r="J115">
        <v>0</v>
      </c>
      <c r="K115">
        <v>0</v>
      </c>
      <c r="N115">
        <v>0</v>
      </c>
    </row>
    <row r="116" spans="1:15" ht="12.75">
      <c r="A116">
        <v>70</v>
      </c>
      <c r="B116">
        <v>1</v>
      </c>
      <c r="D116">
        <v>9</v>
      </c>
      <c r="E116" t="s">
        <v>204</v>
      </c>
      <c r="F116" t="s">
        <v>205</v>
      </c>
      <c r="G116">
        <v>1</v>
      </c>
      <c r="H116">
        <v>1.7</v>
      </c>
      <c r="I116" t="s">
        <v>206</v>
      </c>
      <c r="J116">
        <v>0</v>
      </c>
      <c r="K116">
        <v>0</v>
      </c>
      <c r="N116">
        <v>0</v>
      </c>
    </row>
    <row r="117" spans="1:15" ht="12.75">
      <c r="A117">
        <v>70</v>
      </c>
      <c r="B117">
        <v>1</v>
      </c>
      <c r="D117">
        <v>10</v>
      </c>
      <c r="E117" t="s">
        <v>207</v>
      </c>
      <c r="F117" t="s">
        <v>202</v>
      </c>
      <c r="G117">
        <v>1</v>
      </c>
      <c r="H117">
        <v>1.55</v>
      </c>
      <c r="I117" t="s">
        <v>208</v>
      </c>
      <c r="J117">
        <v>0</v>
      </c>
      <c r="K117">
        <v>0</v>
      </c>
      <c r="N117">
        <v>0</v>
      </c>
    </row>
    <row r="118" spans="1:15" ht="12.75">
      <c r="A118">
        <v>70</v>
      </c>
      <c r="B118">
        <v>1</v>
      </c>
      <c r="D118">
        <v>11</v>
      </c>
      <c r="E118" t="s">
        <v>209</v>
      </c>
      <c r="F118" t="s">
        <v>210</v>
      </c>
      <c r="G118">
        <v>1</v>
      </c>
      <c r="H118">
        <v>2.05</v>
      </c>
      <c r="I118" t="s">
        <v>211</v>
      </c>
      <c r="J118">
        <v>0</v>
      </c>
      <c r="K118">
        <v>0</v>
      </c>
      <c r="N118">
        <v>0</v>
      </c>
    </row>
    <row r="119" spans="1:15" ht="12.75">
      <c r="A119">
        <v>70</v>
      </c>
      <c r="B119">
        <v>1</v>
      </c>
      <c r="D119">
        <v>12</v>
      </c>
      <c r="E119" t="s">
        <v>212</v>
      </c>
      <c r="F119" t="s">
        <v>213</v>
      </c>
      <c r="G119">
        <v>1</v>
      </c>
      <c r="H119">
        <v>1.9</v>
      </c>
      <c r="I119" t="s">
        <v>214</v>
      </c>
      <c r="J119">
        <v>0</v>
      </c>
      <c r="K119">
        <v>0</v>
      </c>
      <c r="N119">
        <v>0</v>
      </c>
    </row>
    <row r="120" spans="1:15" ht="12.75">
      <c r="A120">
        <v>70</v>
      </c>
      <c r="B120">
        <v>1</v>
      </c>
      <c r="D120">
        <v>13</v>
      </c>
      <c r="E120" t="s">
        <v>215</v>
      </c>
      <c r="F120" t="s">
        <v>216</v>
      </c>
      <c r="G120">
        <v>1</v>
      </c>
      <c r="H120">
        <v>2.3</v>
      </c>
      <c r="I120" t="s">
        <v>217</v>
      </c>
      <c r="J120">
        <v>0</v>
      </c>
      <c r="K120">
        <v>0</v>
      </c>
      <c r="N120">
        <v>0</v>
      </c>
    </row>
    <row r="121" spans="1:15" ht="12.75">
      <c r="A121">
        <v>70</v>
      </c>
      <c r="B121">
        <v>1</v>
      </c>
      <c r="D121">
        <v>14</v>
      </c>
      <c r="E121" t="s">
        <v>218</v>
      </c>
      <c r="F121" t="s">
        <v>213</v>
      </c>
      <c r="G121">
        <v>1</v>
      </c>
      <c r="H121">
        <v>2.15</v>
      </c>
      <c r="I121" t="s">
        <v>219</v>
      </c>
      <c r="J121">
        <v>0</v>
      </c>
      <c r="K121">
        <v>0</v>
      </c>
      <c r="N121">
        <v>0</v>
      </c>
    </row>
    <row r="122" spans="1:15" ht="12.75">
      <c r="A122">
        <v>70</v>
      </c>
      <c r="B122">
        <v>1</v>
      </c>
      <c r="D122">
        <v>15</v>
      </c>
      <c r="E122" t="s">
        <v>220</v>
      </c>
      <c r="F122" t="s">
        <v>221</v>
      </c>
      <c r="G122">
        <v>1</v>
      </c>
      <c r="H122">
        <v>1.15</v>
      </c>
      <c r="I122" t="s">
        <v>222</v>
      </c>
      <c r="J122">
        <v>0</v>
      </c>
      <c r="K122">
        <v>0</v>
      </c>
      <c r="N122">
        <v>0</v>
      </c>
    </row>
    <row r="123" spans="1:15" ht="12.75">
      <c r="A123">
        <v>70</v>
      </c>
      <c r="B123">
        <v>1</v>
      </c>
      <c r="D123">
        <v>16</v>
      </c>
      <c r="E123" t="s">
        <v>223</v>
      </c>
      <c r="F123" t="s">
        <v>224</v>
      </c>
      <c r="G123">
        <v>1</v>
      </c>
      <c r="H123">
        <v>1.25</v>
      </c>
      <c r="I123" t="s">
        <v>225</v>
      </c>
      <c r="J123">
        <v>0</v>
      </c>
      <c r="K123">
        <v>0</v>
      </c>
      <c r="N123">
        <v>0</v>
      </c>
    </row>
    <row r="124" spans="1:15" ht="12.75">
      <c r="A124">
        <v>70</v>
      </c>
      <c r="B124">
        <v>1</v>
      </c>
      <c r="D124">
        <v>17</v>
      </c>
      <c r="E124" t="s">
        <v>226</v>
      </c>
      <c r="F124" t="s">
        <v>227</v>
      </c>
      <c r="G124">
        <v>1</v>
      </c>
      <c r="H124">
        <v>1.2</v>
      </c>
      <c r="I124" t="s">
        <v>228</v>
      </c>
      <c r="J124">
        <v>0</v>
      </c>
      <c r="K124">
        <v>0</v>
      </c>
      <c r="N124">
        <v>0</v>
      </c>
    </row>
    <row r="125" spans="1:15" ht="12.75">
      <c r="A125">
        <v>70</v>
      </c>
      <c r="B125">
        <v>1</v>
      </c>
      <c r="D125">
        <v>18</v>
      </c>
      <c r="E125" t="s">
        <v>229</v>
      </c>
      <c r="F125" t="s">
        <v>230</v>
      </c>
      <c r="G125">
        <v>1</v>
      </c>
      <c r="H125">
        <v>1.1</v>
      </c>
      <c r="I125" t="s">
        <v>231</v>
      </c>
      <c r="J125">
        <v>0</v>
      </c>
      <c r="K125">
        <v>0</v>
      </c>
      <c r="N125">
        <v>0</v>
      </c>
    </row>
    <row r="126" spans="1:15" ht="12.75">
      <c r="A126">
        <v>70</v>
      </c>
      <c r="B126">
        <v>1</v>
      </c>
      <c r="D126">
        <v>19</v>
      </c>
      <c r="E126" t="s">
        <v>232</v>
      </c>
      <c r="F126" t="s">
        <v>233</v>
      </c>
      <c r="G126">
        <v>1</v>
      </c>
      <c r="H126">
        <v>1.15</v>
      </c>
      <c r="I126" t="s">
        <v>234</v>
      </c>
      <c r="J126">
        <v>0</v>
      </c>
      <c r="K126">
        <v>0</v>
      </c>
      <c r="N126">
        <v>0</v>
      </c>
    </row>
    <row r="127" spans="1:15" ht="12.75">
      <c r="A127">
        <v>70</v>
      </c>
      <c r="B127">
        <v>1</v>
      </c>
      <c r="D127">
        <v>20</v>
      </c>
      <c r="E127" t="s">
        <v>235</v>
      </c>
      <c r="F127" t="s">
        <v>236</v>
      </c>
      <c r="G127">
        <v>1</v>
      </c>
      <c r="H127">
        <v>1.15</v>
      </c>
      <c r="I127" t="s">
        <v>237</v>
      </c>
      <c r="J127">
        <v>0</v>
      </c>
      <c r="K127">
        <v>0</v>
      </c>
      <c r="N127">
        <v>0</v>
      </c>
    </row>
    <row r="128" spans="1:15" ht="12.75">
      <c r="A128">
        <v>70</v>
      </c>
      <c r="B128">
        <v>1</v>
      </c>
      <c r="D128">
        <v>21</v>
      </c>
      <c r="E128" t="s">
        <v>238</v>
      </c>
      <c r="F128" t="s">
        <v>239</v>
      </c>
      <c r="G128">
        <v>1</v>
      </c>
      <c r="H128">
        <v>1.25</v>
      </c>
      <c r="I128" t="s">
        <v>240</v>
      </c>
      <c r="J128">
        <v>0</v>
      </c>
      <c r="K128">
        <v>0</v>
      </c>
      <c r="N128">
        <v>0</v>
      </c>
    </row>
    <row r="129" spans="1:15" ht="12.75">
      <c r="A129">
        <v>70</v>
      </c>
      <c r="B129">
        <v>1</v>
      </c>
      <c r="D129">
        <v>22</v>
      </c>
      <c r="E129" t="s">
        <v>241</v>
      </c>
      <c r="F129" t="s">
        <v>242</v>
      </c>
      <c r="G129">
        <v>1</v>
      </c>
      <c r="H129">
        <v>1.35</v>
      </c>
      <c r="I129" t="s">
        <v>243</v>
      </c>
      <c r="J129">
        <v>0</v>
      </c>
      <c r="K129">
        <v>0</v>
      </c>
      <c r="N129">
        <v>0</v>
      </c>
    </row>
    <row r="130" spans="1:15" ht="12.75">
      <c r="A130">
        <v>70</v>
      </c>
      <c r="B130">
        <v>1</v>
      </c>
      <c r="D130">
        <v>23</v>
      </c>
      <c r="E130" t="s">
        <v>244</v>
      </c>
      <c r="F130" t="s">
        <v>245</v>
      </c>
      <c r="G130">
        <v>1</v>
      </c>
      <c r="H130">
        <v>1.5</v>
      </c>
      <c r="I130" t="s">
        <v>246</v>
      </c>
      <c r="J130">
        <v>0</v>
      </c>
      <c r="K130">
        <v>0</v>
      </c>
      <c r="N130">
        <v>0</v>
      </c>
    </row>
    <row r="131" spans="1:15" ht="12.75">
      <c r="A131">
        <v>70</v>
      </c>
      <c r="B131">
        <v>1</v>
      </c>
      <c r="D131">
        <v>44</v>
      </c>
      <c r="E131" t="s">
        <v>247</v>
      </c>
      <c r="F131" t="s">
        <v>248</v>
      </c>
      <c r="G131">
        <v>1</v>
      </c>
      <c r="H131">
        <v>1.35</v>
      </c>
      <c r="I131" t="s">
        <v>249</v>
      </c>
      <c r="J131">
        <v>0</v>
      </c>
      <c r="K131">
        <v>0</v>
      </c>
      <c r="N131">
        <v>0</v>
      </c>
    </row>
    <row r="132" spans="1:15" ht="12.75">
      <c r="A132">
        <v>70</v>
      </c>
      <c r="B132">
        <v>1</v>
      </c>
      <c r="D132">
        <v>46</v>
      </c>
      <c r="E132" t="s">
        <v>250</v>
      </c>
      <c r="F132" t="s">
        <v>251</v>
      </c>
      <c r="G132">
        <v>0</v>
      </c>
      <c r="H132">
        <v>0</v>
      </c>
      <c r="I132" t="s">
        <v>165</v>
      </c>
      <c r="J132">
        <v>0</v>
      </c>
      <c r="K132">
        <v>0</v>
      </c>
      <c r="N132">
        <v>0</v>
      </c>
    </row>
    <row r="133" spans="1:15" ht="12.75">
      <c r="A133">
        <v>70</v>
      </c>
      <c r="B133">
        <v>1</v>
      </c>
      <c r="D133">
        <v>47</v>
      </c>
      <c r="E133" t="s">
        <v>252</v>
      </c>
      <c r="F133" t="s">
        <v>253</v>
      </c>
      <c r="G133">
        <v>1</v>
      </c>
      <c r="H133">
        <v>1.15</v>
      </c>
      <c r="I133" t="s">
        <v>254</v>
      </c>
      <c r="J133">
        <v>0</v>
      </c>
      <c r="K133">
        <v>0</v>
      </c>
      <c r="N133">
        <v>0</v>
      </c>
    </row>
    <row r="134" spans="1:15" ht="12.75">
      <c r="A134">
        <v>70</v>
      </c>
      <c r="B134">
        <v>1</v>
      </c>
      <c r="D134">
        <v>48</v>
      </c>
      <c r="E134" t="s">
        <v>255</v>
      </c>
      <c r="F134" t="s">
        <v>256</v>
      </c>
      <c r="G134">
        <v>1</v>
      </c>
      <c r="H134">
        <v>1.25</v>
      </c>
      <c r="I134" t="s">
        <v>257</v>
      </c>
      <c r="J134">
        <v>0</v>
      </c>
      <c r="K134">
        <v>0</v>
      </c>
      <c r="N134">
        <v>0</v>
      </c>
    </row>
    <row r="135" spans="1:15" ht="12.75">
      <c r="A135">
        <v>70</v>
      </c>
      <c r="B135">
        <v>1</v>
      </c>
      <c r="D135">
        <v>49</v>
      </c>
      <c r="E135" t="s">
        <v>258</v>
      </c>
      <c r="F135" t="s">
        <v>259</v>
      </c>
      <c r="G135">
        <v>1</v>
      </c>
      <c r="H135">
        <v>1.1</v>
      </c>
      <c r="I135" t="s">
        <v>260</v>
      </c>
      <c r="J135">
        <v>0</v>
      </c>
      <c r="K135">
        <v>0</v>
      </c>
      <c r="N135">
        <v>0</v>
      </c>
    </row>
    <row r="136" spans="1:15" ht="12.75">
      <c r="A136">
        <v>70</v>
      </c>
      <c r="B136">
        <v>1</v>
      </c>
      <c r="D136">
        <v>45</v>
      </c>
      <c r="E136" t="s">
        <v>261</v>
      </c>
      <c r="F136" t="s">
        <v>262</v>
      </c>
      <c r="G136">
        <v>1</v>
      </c>
      <c r="H136">
        <v>1.5</v>
      </c>
      <c r="I136" t="s">
        <v>263</v>
      </c>
      <c r="J136">
        <v>0</v>
      </c>
      <c r="K136">
        <v>0</v>
      </c>
      <c r="N136">
        <v>0</v>
      </c>
    </row>
    <row r="137" spans="1:15" ht="12.75">
      <c r="A137">
        <v>70</v>
      </c>
      <c r="B137">
        <v>1</v>
      </c>
      <c r="D137">
        <v>51</v>
      </c>
      <c r="E137" t="s">
        <v>264</v>
      </c>
      <c r="F137" t="s">
        <v>265</v>
      </c>
      <c r="G137">
        <v>1</v>
      </c>
      <c r="H137">
        <v>1.1</v>
      </c>
      <c r="I137" t="s">
        <v>266</v>
      </c>
      <c r="J137">
        <v>0</v>
      </c>
      <c r="K137">
        <v>0</v>
      </c>
      <c r="N137">
        <v>0</v>
      </c>
    </row>
    <row r="138" spans="1:15" ht="12.75">
      <c r="A138">
        <v>70</v>
      </c>
      <c r="B138">
        <v>1</v>
      </c>
      <c r="D138">
        <v>50</v>
      </c>
      <c r="E138" t="s">
        <v>267</v>
      </c>
      <c r="F138" t="s">
        <v>268</v>
      </c>
      <c r="G138">
        <v>1</v>
      </c>
      <c r="H138">
        <v>1.35</v>
      </c>
      <c r="I138" t="s">
        <v>269</v>
      </c>
      <c r="J138">
        <v>0</v>
      </c>
      <c r="K138">
        <v>0</v>
      </c>
      <c r="N138">
        <v>0</v>
      </c>
    </row>
    <row r="141" spans="1:5" ht="12.75">
      <c r="A141">
        <v>65</v>
      </c>
      <c r="C141">
        <v>1</v>
      </c>
      <c r="D141">
        <v>0</v>
      </c>
      <c r="E141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54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7507600</v>
      </c>
      <c r="C1">
        <v>7507599</v>
      </c>
      <c r="D1">
        <v>5528931</v>
      </c>
      <c r="E1">
        <v>1</v>
      </c>
      <c r="F1">
        <v>1</v>
      </c>
      <c r="G1">
        <v>1</v>
      </c>
      <c r="H1">
        <v>1</v>
      </c>
      <c r="I1" t="s">
        <v>270</v>
      </c>
      <c r="K1" t="s">
        <v>271</v>
      </c>
      <c r="L1">
        <v>1369</v>
      </c>
      <c r="N1">
        <v>1013</v>
      </c>
      <c r="O1" t="s">
        <v>272</v>
      </c>
      <c r="P1" t="s">
        <v>272</v>
      </c>
      <c r="Q1">
        <v>1</v>
      </c>
      <c r="Y1">
        <v>318.92</v>
      </c>
      <c r="AA1">
        <v>0</v>
      </c>
      <c r="AB1">
        <v>0</v>
      </c>
      <c r="AC1">
        <v>0</v>
      </c>
      <c r="AD1">
        <v>10.07</v>
      </c>
      <c r="AN1">
        <v>0</v>
      </c>
      <c r="AO1">
        <v>1</v>
      </c>
      <c r="AP1">
        <v>0</v>
      </c>
      <c r="AQ1">
        <v>0</v>
      </c>
      <c r="AR1">
        <v>0</v>
      </c>
      <c r="AT1">
        <v>318.92</v>
      </c>
      <c r="AV1">
        <v>1</v>
      </c>
      <c r="AW1">
        <v>2</v>
      </c>
      <c r="AX1">
        <v>7507600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7507601</v>
      </c>
      <c r="C2">
        <v>7507599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29</v>
      </c>
      <c r="K2" t="s">
        <v>273</v>
      </c>
      <c r="L2">
        <v>608254</v>
      </c>
      <c r="N2">
        <v>1013</v>
      </c>
      <c r="O2" t="s">
        <v>274</v>
      </c>
      <c r="P2" t="s">
        <v>274</v>
      </c>
      <c r="Q2">
        <v>1</v>
      </c>
      <c r="Y2">
        <v>77.38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77.38</v>
      </c>
      <c r="AV2">
        <v>2</v>
      </c>
      <c r="AW2">
        <v>2</v>
      </c>
      <c r="AX2">
        <v>7507601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7507602</v>
      </c>
      <c r="C3">
        <v>7507599</v>
      </c>
      <c r="D3">
        <v>5493705</v>
      </c>
      <c r="E3">
        <v>1</v>
      </c>
      <c r="F3">
        <v>1</v>
      </c>
      <c r="G3">
        <v>1</v>
      </c>
      <c r="H3">
        <v>2</v>
      </c>
      <c r="I3" t="s">
        <v>275</v>
      </c>
      <c r="J3" t="s">
        <v>276</v>
      </c>
      <c r="K3" t="s">
        <v>277</v>
      </c>
      <c r="L3">
        <v>1368</v>
      </c>
      <c r="N3">
        <v>1011</v>
      </c>
      <c r="O3" t="s">
        <v>278</v>
      </c>
      <c r="P3" t="s">
        <v>278</v>
      </c>
      <c r="Q3">
        <v>1</v>
      </c>
      <c r="Y3">
        <v>76.8</v>
      </c>
      <c r="AA3">
        <v>0</v>
      </c>
      <c r="AB3">
        <v>86.4</v>
      </c>
      <c r="AC3">
        <v>13.5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76.8</v>
      </c>
      <c r="AV3">
        <v>0</v>
      </c>
      <c r="AW3">
        <v>2</v>
      </c>
      <c r="AX3">
        <v>7507602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7507603</v>
      </c>
      <c r="C4">
        <v>7507599</v>
      </c>
      <c r="D4">
        <v>5494274</v>
      </c>
      <c r="E4">
        <v>1</v>
      </c>
      <c r="F4">
        <v>1</v>
      </c>
      <c r="G4">
        <v>1</v>
      </c>
      <c r="H4">
        <v>2</v>
      </c>
      <c r="I4" t="s">
        <v>279</v>
      </c>
      <c r="J4" t="s">
        <v>280</v>
      </c>
      <c r="K4" t="s">
        <v>281</v>
      </c>
      <c r="L4">
        <v>1368</v>
      </c>
      <c r="N4">
        <v>1011</v>
      </c>
      <c r="O4" t="s">
        <v>278</v>
      </c>
      <c r="P4" t="s">
        <v>278</v>
      </c>
      <c r="Q4">
        <v>1</v>
      </c>
      <c r="Y4">
        <v>23.8</v>
      </c>
      <c r="AA4">
        <v>0</v>
      </c>
      <c r="AB4">
        <v>8.1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23.8</v>
      </c>
      <c r="AV4">
        <v>0</v>
      </c>
      <c r="AW4">
        <v>2</v>
      </c>
      <c r="AX4">
        <v>7507603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7507604</v>
      </c>
      <c r="C5">
        <v>7507599</v>
      </c>
      <c r="D5">
        <v>5496870</v>
      </c>
      <c r="E5">
        <v>1</v>
      </c>
      <c r="F5">
        <v>1</v>
      </c>
      <c r="G5">
        <v>1</v>
      </c>
      <c r="H5">
        <v>2</v>
      </c>
      <c r="I5" t="s">
        <v>282</v>
      </c>
      <c r="J5" t="s">
        <v>283</v>
      </c>
      <c r="K5" t="s">
        <v>284</v>
      </c>
      <c r="L5">
        <v>1368</v>
      </c>
      <c r="N5">
        <v>1011</v>
      </c>
      <c r="O5" t="s">
        <v>278</v>
      </c>
      <c r="P5" t="s">
        <v>278</v>
      </c>
      <c r="Q5">
        <v>1</v>
      </c>
      <c r="Y5">
        <v>0.58</v>
      </c>
      <c r="AA5">
        <v>0</v>
      </c>
      <c r="AB5">
        <v>75.4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0.58</v>
      </c>
      <c r="AV5">
        <v>0</v>
      </c>
      <c r="AW5">
        <v>2</v>
      </c>
      <c r="AX5">
        <v>7507604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ROW(Source!A24)</f>
        <v>24</v>
      </c>
      <c r="B6">
        <v>7507605</v>
      </c>
      <c r="C6">
        <v>7507599</v>
      </c>
      <c r="D6">
        <v>5443008</v>
      </c>
      <c r="E6">
        <v>1</v>
      </c>
      <c r="F6">
        <v>1</v>
      </c>
      <c r="G6">
        <v>1</v>
      </c>
      <c r="H6">
        <v>3</v>
      </c>
      <c r="I6" t="s">
        <v>285</v>
      </c>
      <c r="J6" t="s">
        <v>286</v>
      </c>
      <c r="K6" t="s">
        <v>287</v>
      </c>
      <c r="L6">
        <v>1348</v>
      </c>
      <c r="N6">
        <v>1009</v>
      </c>
      <c r="O6" t="s">
        <v>84</v>
      </c>
      <c r="P6" t="s">
        <v>84</v>
      </c>
      <c r="Q6">
        <v>1000</v>
      </c>
      <c r="Y6">
        <v>0.04</v>
      </c>
      <c r="AA6">
        <v>9424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0.04</v>
      </c>
      <c r="AV6">
        <v>0</v>
      </c>
      <c r="AW6">
        <v>2</v>
      </c>
      <c r="AX6">
        <v>7507605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ROW(Source!A24)</f>
        <v>24</v>
      </c>
      <c r="B7">
        <v>7507606</v>
      </c>
      <c r="C7">
        <v>7507599</v>
      </c>
      <c r="D7">
        <v>5467858</v>
      </c>
      <c r="E7">
        <v>1</v>
      </c>
      <c r="F7">
        <v>1</v>
      </c>
      <c r="G7">
        <v>1</v>
      </c>
      <c r="H7">
        <v>3</v>
      </c>
      <c r="I7" t="s">
        <v>288</v>
      </c>
      <c r="J7" t="s">
        <v>289</v>
      </c>
      <c r="K7" t="s">
        <v>290</v>
      </c>
      <c r="L7">
        <v>1339</v>
      </c>
      <c r="N7">
        <v>1007</v>
      </c>
      <c r="O7" t="s">
        <v>55</v>
      </c>
      <c r="P7" t="s">
        <v>55</v>
      </c>
      <c r="Q7">
        <v>1</v>
      </c>
      <c r="Y7">
        <v>2.48</v>
      </c>
      <c r="AA7">
        <v>519.8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2.48</v>
      </c>
      <c r="AV7">
        <v>0</v>
      </c>
      <c r="AW7">
        <v>2</v>
      </c>
      <c r="AX7">
        <v>7507606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ROW(Source!A24)</f>
        <v>24</v>
      </c>
      <c r="B8">
        <v>7507607</v>
      </c>
      <c r="C8">
        <v>7507599</v>
      </c>
      <c r="D8">
        <v>0</v>
      </c>
      <c r="E8">
        <v>0</v>
      </c>
      <c r="F8">
        <v>1</v>
      </c>
      <c r="G8">
        <v>1</v>
      </c>
      <c r="H8">
        <v>3</v>
      </c>
      <c r="I8" t="s">
        <v>25</v>
      </c>
      <c r="J8" t="s">
        <v>28</v>
      </c>
      <c r="K8" t="s">
        <v>26</v>
      </c>
      <c r="L8">
        <v>1354</v>
      </c>
      <c r="N8">
        <v>1010</v>
      </c>
      <c r="O8" t="s">
        <v>27</v>
      </c>
      <c r="P8" t="s">
        <v>27</v>
      </c>
      <c r="Q8">
        <v>1</v>
      </c>
      <c r="Y8">
        <v>100</v>
      </c>
      <c r="AA8">
        <v>39348</v>
      </c>
      <c r="AB8">
        <v>0</v>
      </c>
      <c r="AC8">
        <v>0</v>
      </c>
      <c r="AD8">
        <v>0</v>
      </c>
      <c r="AN8">
        <v>1</v>
      </c>
      <c r="AO8">
        <v>1</v>
      </c>
      <c r="AP8">
        <v>1</v>
      </c>
      <c r="AQ8">
        <v>0</v>
      </c>
      <c r="AR8">
        <v>0</v>
      </c>
      <c r="AT8">
        <v>100</v>
      </c>
      <c r="AV8">
        <v>0</v>
      </c>
      <c r="AW8">
        <v>1</v>
      </c>
      <c r="AX8">
        <v>-1</v>
      </c>
      <c r="AY8">
        <v>0</v>
      </c>
      <c r="AZ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ROW(Source!A27)</f>
        <v>27</v>
      </c>
      <c r="B9">
        <v>8804352</v>
      </c>
      <c r="C9">
        <v>8804351</v>
      </c>
      <c r="D9">
        <v>5521231</v>
      </c>
      <c r="E9">
        <v>1</v>
      </c>
      <c r="F9">
        <v>1</v>
      </c>
      <c r="G9">
        <v>1</v>
      </c>
      <c r="H9">
        <v>1</v>
      </c>
      <c r="I9" t="s">
        <v>291</v>
      </c>
      <c r="K9" t="s">
        <v>292</v>
      </c>
      <c r="L9">
        <v>1369</v>
      </c>
      <c r="N9">
        <v>1013</v>
      </c>
      <c r="O9" t="s">
        <v>272</v>
      </c>
      <c r="P9" t="s">
        <v>272</v>
      </c>
      <c r="Q9">
        <v>1</v>
      </c>
      <c r="Y9">
        <v>224.91</v>
      </c>
      <c r="AA9">
        <v>0</v>
      </c>
      <c r="AB9">
        <v>0</v>
      </c>
      <c r="AC9">
        <v>0</v>
      </c>
      <c r="AD9">
        <v>9.19</v>
      </c>
      <c r="AN9">
        <v>0</v>
      </c>
      <c r="AO9">
        <v>1</v>
      </c>
      <c r="AP9">
        <v>0</v>
      </c>
      <c r="AQ9">
        <v>0</v>
      </c>
      <c r="AR9">
        <v>0</v>
      </c>
      <c r="AT9">
        <v>224.91</v>
      </c>
      <c r="AV9">
        <v>1</v>
      </c>
      <c r="AW9">
        <v>2</v>
      </c>
      <c r="AX9">
        <v>8804352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ROW(Source!A27)</f>
        <v>27</v>
      </c>
      <c r="B10">
        <v>8804353</v>
      </c>
      <c r="C10">
        <v>8804351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29</v>
      </c>
      <c r="K10" t="s">
        <v>273</v>
      </c>
      <c r="L10">
        <v>608254</v>
      </c>
      <c r="N10">
        <v>1013</v>
      </c>
      <c r="O10" t="s">
        <v>274</v>
      </c>
      <c r="P10" t="s">
        <v>274</v>
      </c>
      <c r="Q10">
        <v>1</v>
      </c>
      <c r="Y10">
        <v>26.91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26.91</v>
      </c>
      <c r="AV10">
        <v>2</v>
      </c>
      <c r="AW10">
        <v>2</v>
      </c>
      <c r="AX10">
        <v>8804353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ROW(Source!A27)</f>
        <v>27</v>
      </c>
      <c r="B11">
        <v>8804354</v>
      </c>
      <c r="C11">
        <v>8804351</v>
      </c>
      <c r="D11">
        <v>5493705</v>
      </c>
      <c r="E11">
        <v>1</v>
      </c>
      <c r="F11">
        <v>1</v>
      </c>
      <c r="G11">
        <v>1</v>
      </c>
      <c r="H11">
        <v>2</v>
      </c>
      <c r="I11" t="s">
        <v>275</v>
      </c>
      <c r="J11" t="s">
        <v>276</v>
      </c>
      <c r="K11" t="s">
        <v>277</v>
      </c>
      <c r="L11">
        <v>1368</v>
      </c>
      <c r="N11">
        <v>1011</v>
      </c>
      <c r="O11" t="s">
        <v>278</v>
      </c>
      <c r="P11" t="s">
        <v>278</v>
      </c>
      <c r="Q11">
        <v>1</v>
      </c>
      <c r="Y11">
        <v>26.11</v>
      </c>
      <c r="AA11">
        <v>0</v>
      </c>
      <c r="AB11">
        <v>86.4</v>
      </c>
      <c r="AC11">
        <v>13.5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26.11</v>
      </c>
      <c r="AV11">
        <v>0</v>
      </c>
      <c r="AW11">
        <v>2</v>
      </c>
      <c r="AX11">
        <v>8804354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ROW(Source!A27)</f>
        <v>27</v>
      </c>
      <c r="B12">
        <v>8804355</v>
      </c>
      <c r="C12">
        <v>8804351</v>
      </c>
      <c r="D12">
        <v>5494274</v>
      </c>
      <c r="E12">
        <v>1</v>
      </c>
      <c r="F12">
        <v>1</v>
      </c>
      <c r="G12">
        <v>1</v>
      </c>
      <c r="H12">
        <v>2</v>
      </c>
      <c r="I12" t="s">
        <v>279</v>
      </c>
      <c r="J12" t="s">
        <v>280</v>
      </c>
      <c r="K12" t="s">
        <v>281</v>
      </c>
      <c r="L12">
        <v>1368</v>
      </c>
      <c r="N12">
        <v>1011</v>
      </c>
      <c r="O12" t="s">
        <v>278</v>
      </c>
      <c r="P12" t="s">
        <v>278</v>
      </c>
      <c r="Q12">
        <v>1</v>
      </c>
      <c r="Y12">
        <v>11.14</v>
      </c>
      <c r="AA12">
        <v>0</v>
      </c>
      <c r="AB12">
        <v>8.1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11.14</v>
      </c>
      <c r="AV12">
        <v>0</v>
      </c>
      <c r="AW12">
        <v>2</v>
      </c>
      <c r="AX12">
        <v>8804355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ROW(Source!A27)</f>
        <v>27</v>
      </c>
      <c r="B13">
        <v>8804356</v>
      </c>
      <c r="C13">
        <v>8804351</v>
      </c>
      <c r="D13">
        <v>5496870</v>
      </c>
      <c r="E13">
        <v>1</v>
      </c>
      <c r="F13">
        <v>1</v>
      </c>
      <c r="G13">
        <v>1</v>
      </c>
      <c r="H13">
        <v>2</v>
      </c>
      <c r="I13" t="s">
        <v>282</v>
      </c>
      <c r="J13" t="s">
        <v>283</v>
      </c>
      <c r="K13" t="s">
        <v>284</v>
      </c>
      <c r="L13">
        <v>1368</v>
      </c>
      <c r="N13">
        <v>1011</v>
      </c>
      <c r="O13" t="s">
        <v>278</v>
      </c>
      <c r="P13" t="s">
        <v>278</v>
      </c>
      <c r="Q13">
        <v>1</v>
      </c>
      <c r="Y13">
        <v>0.8</v>
      </c>
      <c r="AA13">
        <v>0</v>
      </c>
      <c r="AB13">
        <v>75.4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0.8</v>
      </c>
      <c r="AV13">
        <v>0</v>
      </c>
      <c r="AW13">
        <v>2</v>
      </c>
      <c r="AX13">
        <v>8804356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ROW(Source!A27)</f>
        <v>27</v>
      </c>
      <c r="B14">
        <v>8804357</v>
      </c>
      <c r="C14">
        <v>8804351</v>
      </c>
      <c r="D14">
        <v>5443008</v>
      </c>
      <c r="E14">
        <v>1</v>
      </c>
      <c r="F14">
        <v>1</v>
      </c>
      <c r="G14">
        <v>1</v>
      </c>
      <c r="H14">
        <v>3</v>
      </c>
      <c r="I14" t="s">
        <v>285</v>
      </c>
      <c r="J14" t="s">
        <v>286</v>
      </c>
      <c r="K14" t="s">
        <v>287</v>
      </c>
      <c r="L14">
        <v>1348</v>
      </c>
      <c r="N14">
        <v>1009</v>
      </c>
      <c r="O14" t="s">
        <v>84</v>
      </c>
      <c r="P14" t="s">
        <v>84</v>
      </c>
      <c r="Q14">
        <v>1000</v>
      </c>
      <c r="Y14">
        <v>0.01</v>
      </c>
      <c r="AA14">
        <v>9424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0.01</v>
      </c>
      <c r="AV14">
        <v>0</v>
      </c>
      <c r="AW14">
        <v>2</v>
      </c>
      <c r="AX14">
        <v>8804357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ROW(Source!A27)</f>
        <v>27</v>
      </c>
      <c r="B15">
        <v>8804358</v>
      </c>
      <c r="C15">
        <v>8804351</v>
      </c>
      <c r="D15">
        <v>5449316</v>
      </c>
      <c r="E15">
        <v>1</v>
      </c>
      <c r="F15">
        <v>1</v>
      </c>
      <c r="G15">
        <v>1</v>
      </c>
      <c r="H15">
        <v>3</v>
      </c>
      <c r="I15" t="s">
        <v>293</v>
      </c>
      <c r="J15" t="s">
        <v>294</v>
      </c>
      <c r="K15" t="s">
        <v>295</v>
      </c>
      <c r="L15">
        <v>1348</v>
      </c>
      <c r="N15">
        <v>1009</v>
      </c>
      <c r="O15" t="s">
        <v>84</v>
      </c>
      <c r="P15" t="s">
        <v>84</v>
      </c>
      <c r="Q15">
        <v>1000</v>
      </c>
      <c r="Y15">
        <v>0.005</v>
      </c>
      <c r="AA15">
        <v>9550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0.005</v>
      </c>
      <c r="AV15">
        <v>0</v>
      </c>
      <c r="AW15">
        <v>2</v>
      </c>
      <c r="AX15">
        <v>8804358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ROW(Source!A27)</f>
        <v>27</v>
      </c>
      <c r="B16">
        <v>8804359</v>
      </c>
      <c r="C16">
        <v>8804351</v>
      </c>
      <c r="D16">
        <v>5457400</v>
      </c>
      <c r="E16">
        <v>1</v>
      </c>
      <c r="F16">
        <v>1</v>
      </c>
      <c r="G16">
        <v>1</v>
      </c>
      <c r="H16">
        <v>3</v>
      </c>
      <c r="I16" t="s">
        <v>296</v>
      </c>
      <c r="J16" t="s">
        <v>297</v>
      </c>
      <c r="K16" t="s">
        <v>298</v>
      </c>
      <c r="L16">
        <v>1348</v>
      </c>
      <c r="N16">
        <v>1009</v>
      </c>
      <c r="O16" t="s">
        <v>84</v>
      </c>
      <c r="P16" t="s">
        <v>84</v>
      </c>
      <c r="Q16">
        <v>1000</v>
      </c>
      <c r="Y16">
        <v>0.036</v>
      </c>
      <c r="AA16">
        <v>10045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0.036</v>
      </c>
      <c r="AV16">
        <v>0</v>
      </c>
      <c r="AW16">
        <v>2</v>
      </c>
      <c r="AX16">
        <v>8804359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ROW(Source!A27)</f>
        <v>27</v>
      </c>
      <c r="B17">
        <v>8804360</v>
      </c>
      <c r="C17">
        <v>8804351</v>
      </c>
      <c r="D17">
        <v>5467858</v>
      </c>
      <c r="E17">
        <v>1</v>
      </c>
      <c r="F17">
        <v>1</v>
      </c>
      <c r="G17">
        <v>1</v>
      </c>
      <c r="H17">
        <v>3</v>
      </c>
      <c r="I17" t="s">
        <v>288</v>
      </c>
      <c r="J17" t="s">
        <v>289</v>
      </c>
      <c r="K17" t="s">
        <v>290</v>
      </c>
      <c r="L17">
        <v>1339</v>
      </c>
      <c r="N17">
        <v>1007</v>
      </c>
      <c r="O17" t="s">
        <v>55</v>
      </c>
      <c r="P17" t="s">
        <v>55</v>
      </c>
      <c r="Q17">
        <v>1</v>
      </c>
      <c r="Y17">
        <v>2.09</v>
      </c>
      <c r="AA17">
        <v>519.8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2.09</v>
      </c>
      <c r="AV17">
        <v>0</v>
      </c>
      <c r="AW17">
        <v>2</v>
      </c>
      <c r="AX17">
        <v>8804360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ROW(Source!A27)</f>
        <v>27</v>
      </c>
      <c r="B18">
        <v>8804361</v>
      </c>
      <c r="C18">
        <v>8804351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25</v>
      </c>
      <c r="J18" t="s">
        <v>28</v>
      </c>
      <c r="K18" t="s">
        <v>42</v>
      </c>
      <c r="L18">
        <v>1354</v>
      </c>
      <c r="N18">
        <v>1010</v>
      </c>
      <c r="O18" t="s">
        <v>27</v>
      </c>
      <c r="P18" t="s">
        <v>27</v>
      </c>
      <c r="Q18">
        <v>1</v>
      </c>
      <c r="Y18">
        <v>100</v>
      </c>
      <c r="AA18">
        <v>14464</v>
      </c>
      <c r="AB18">
        <v>0</v>
      </c>
      <c r="AC18">
        <v>0</v>
      </c>
      <c r="AD18">
        <v>0</v>
      </c>
      <c r="AN18">
        <v>1</v>
      </c>
      <c r="AO18">
        <v>1</v>
      </c>
      <c r="AP18">
        <v>1</v>
      </c>
      <c r="AQ18">
        <v>0</v>
      </c>
      <c r="AR18">
        <v>0</v>
      </c>
      <c r="AT18">
        <v>100</v>
      </c>
      <c r="AV18">
        <v>0</v>
      </c>
      <c r="AW18">
        <v>1</v>
      </c>
      <c r="AX18">
        <v>-1</v>
      </c>
      <c r="AY18">
        <v>0</v>
      </c>
      <c r="AZ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ROW(Source!A30)</f>
        <v>30</v>
      </c>
      <c r="B19">
        <v>9239568</v>
      </c>
      <c r="C19">
        <v>9239567</v>
      </c>
      <c r="D19">
        <v>5518255</v>
      </c>
      <c r="E19">
        <v>1</v>
      </c>
      <c r="F19">
        <v>1</v>
      </c>
      <c r="G19">
        <v>1</v>
      </c>
      <c r="H19">
        <v>1</v>
      </c>
      <c r="I19" t="s">
        <v>299</v>
      </c>
      <c r="K19" t="s">
        <v>300</v>
      </c>
      <c r="L19">
        <v>1369</v>
      </c>
      <c r="N19">
        <v>1013</v>
      </c>
      <c r="O19" t="s">
        <v>272</v>
      </c>
      <c r="P19" t="s">
        <v>272</v>
      </c>
      <c r="Q19">
        <v>1</v>
      </c>
      <c r="Y19">
        <v>14.8</v>
      </c>
      <c r="AA19">
        <v>0</v>
      </c>
      <c r="AB19">
        <v>0</v>
      </c>
      <c r="AC19">
        <v>0</v>
      </c>
      <c r="AD19">
        <v>9.3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14.8</v>
      </c>
      <c r="AV19">
        <v>1</v>
      </c>
      <c r="AW19">
        <v>2</v>
      </c>
      <c r="AX19">
        <v>9239568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ROW(Source!A30)</f>
        <v>30</v>
      </c>
      <c r="B20">
        <v>9239569</v>
      </c>
      <c r="C20">
        <v>9239567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29</v>
      </c>
      <c r="K20" t="s">
        <v>273</v>
      </c>
      <c r="L20">
        <v>608254</v>
      </c>
      <c r="N20">
        <v>1013</v>
      </c>
      <c r="O20" t="s">
        <v>274</v>
      </c>
      <c r="P20" t="s">
        <v>274</v>
      </c>
      <c r="Q20">
        <v>1</v>
      </c>
      <c r="Y20">
        <v>0.51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0.51</v>
      </c>
      <c r="AV20">
        <v>2</v>
      </c>
      <c r="AW20">
        <v>2</v>
      </c>
      <c r="AX20">
        <v>9239569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ROW(Source!A30)</f>
        <v>30</v>
      </c>
      <c r="B21">
        <v>9239570</v>
      </c>
      <c r="C21">
        <v>9239567</v>
      </c>
      <c r="D21">
        <v>5496525</v>
      </c>
      <c r="E21">
        <v>1</v>
      </c>
      <c r="F21">
        <v>1</v>
      </c>
      <c r="G21">
        <v>1</v>
      </c>
      <c r="H21">
        <v>2</v>
      </c>
      <c r="I21" t="s">
        <v>301</v>
      </c>
      <c r="J21" t="s">
        <v>302</v>
      </c>
      <c r="K21" t="s">
        <v>303</v>
      </c>
      <c r="L21">
        <v>1368</v>
      </c>
      <c r="N21">
        <v>1011</v>
      </c>
      <c r="O21" t="s">
        <v>278</v>
      </c>
      <c r="P21" t="s">
        <v>278</v>
      </c>
      <c r="Q21">
        <v>1</v>
      </c>
      <c r="Y21">
        <v>0.2</v>
      </c>
      <c r="AA21">
        <v>0</v>
      </c>
      <c r="AB21">
        <v>2.16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0.2</v>
      </c>
      <c r="AV21">
        <v>0</v>
      </c>
      <c r="AW21">
        <v>2</v>
      </c>
      <c r="AX21">
        <v>9239570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ROW(Source!A30)</f>
        <v>30</v>
      </c>
      <c r="B22">
        <v>9239571</v>
      </c>
      <c r="C22">
        <v>9239567</v>
      </c>
      <c r="D22">
        <v>5496527</v>
      </c>
      <c r="E22">
        <v>1</v>
      </c>
      <c r="F22">
        <v>1</v>
      </c>
      <c r="G22">
        <v>1</v>
      </c>
      <c r="H22">
        <v>2</v>
      </c>
      <c r="I22" t="s">
        <v>304</v>
      </c>
      <c r="J22" t="s">
        <v>302</v>
      </c>
      <c r="K22" t="s">
        <v>305</v>
      </c>
      <c r="L22">
        <v>1368</v>
      </c>
      <c r="N22">
        <v>1011</v>
      </c>
      <c r="O22" t="s">
        <v>278</v>
      </c>
      <c r="P22" t="s">
        <v>278</v>
      </c>
      <c r="Q22">
        <v>1</v>
      </c>
      <c r="Y22">
        <v>1.68</v>
      </c>
      <c r="AA22">
        <v>0</v>
      </c>
      <c r="AB22">
        <v>13.3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1.68</v>
      </c>
      <c r="AV22">
        <v>0</v>
      </c>
      <c r="AW22">
        <v>2</v>
      </c>
      <c r="AX22">
        <v>9239571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ROW(Source!A30)</f>
        <v>30</v>
      </c>
      <c r="B23">
        <v>9239572</v>
      </c>
      <c r="C23">
        <v>9239567</v>
      </c>
      <c r="D23">
        <v>5496870</v>
      </c>
      <c r="E23">
        <v>1</v>
      </c>
      <c r="F23">
        <v>1</v>
      </c>
      <c r="G23">
        <v>1</v>
      </c>
      <c r="H23">
        <v>2</v>
      </c>
      <c r="I23" t="s">
        <v>282</v>
      </c>
      <c r="J23" t="s">
        <v>283</v>
      </c>
      <c r="K23" t="s">
        <v>284</v>
      </c>
      <c r="L23">
        <v>1368</v>
      </c>
      <c r="N23">
        <v>1011</v>
      </c>
      <c r="O23" t="s">
        <v>278</v>
      </c>
      <c r="P23" t="s">
        <v>278</v>
      </c>
      <c r="Q23">
        <v>1</v>
      </c>
      <c r="Y23">
        <v>0.51</v>
      </c>
      <c r="AA23">
        <v>0</v>
      </c>
      <c r="AB23">
        <v>75.4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0.51</v>
      </c>
      <c r="AV23">
        <v>0</v>
      </c>
      <c r="AW23">
        <v>2</v>
      </c>
      <c r="AX23">
        <v>9239572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ROW(Source!A30)</f>
        <v>30</v>
      </c>
      <c r="B24">
        <v>9239573</v>
      </c>
      <c r="C24">
        <v>9239567</v>
      </c>
      <c r="D24">
        <v>5441432</v>
      </c>
      <c r="E24">
        <v>1</v>
      </c>
      <c r="F24">
        <v>1</v>
      </c>
      <c r="G24">
        <v>1</v>
      </c>
      <c r="H24">
        <v>3</v>
      </c>
      <c r="I24" t="s">
        <v>306</v>
      </c>
      <c r="J24" t="s">
        <v>307</v>
      </c>
      <c r="K24" t="s">
        <v>308</v>
      </c>
      <c r="L24">
        <v>1348</v>
      </c>
      <c r="N24">
        <v>1009</v>
      </c>
      <c r="O24" t="s">
        <v>84</v>
      </c>
      <c r="P24" t="s">
        <v>84</v>
      </c>
      <c r="Q24">
        <v>1000</v>
      </c>
      <c r="Y24">
        <v>0.00726</v>
      </c>
      <c r="AA24">
        <v>7590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0.00726</v>
      </c>
      <c r="AV24">
        <v>0</v>
      </c>
      <c r="AW24">
        <v>2</v>
      </c>
      <c r="AX24">
        <v>9239573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ROW(Source!A30)</f>
        <v>30</v>
      </c>
      <c r="B25">
        <v>9239574</v>
      </c>
      <c r="C25">
        <v>9239567</v>
      </c>
      <c r="D25">
        <v>5441869</v>
      </c>
      <c r="E25">
        <v>1</v>
      </c>
      <c r="F25">
        <v>1</v>
      </c>
      <c r="G25">
        <v>1</v>
      </c>
      <c r="H25">
        <v>3</v>
      </c>
      <c r="I25" t="s">
        <v>309</v>
      </c>
      <c r="J25" t="s">
        <v>310</v>
      </c>
      <c r="K25" t="s">
        <v>311</v>
      </c>
      <c r="L25">
        <v>1348</v>
      </c>
      <c r="N25">
        <v>1009</v>
      </c>
      <c r="O25" t="s">
        <v>84</v>
      </c>
      <c r="P25" t="s">
        <v>84</v>
      </c>
      <c r="Q25">
        <v>1000</v>
      </c>
      <c r="Y25">
        <v>0.002</v>
      </c>
      <c r="AA25">
        <v>14690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0.002</v>
      </c>
      <c r="AV25">
        <v>0</v>
      </c>
      <c r="AW25">
        <v>2</v>
      </c>
      <c r="AX25">
        <v>9239574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ROW(Source!A30)</f>
        <v>30</v>
      </c>
      <c r="B26">
        <v>9239575</v>
      </c>
      <c r="C26">
        <v>9239567</v>
      </c>
      <c r="D26">
        <v>5441873</v>
      </c>
      <c r="E26">
        <v>1</v>
      </c>
      <c r="F26">
        <v>1</v>
      </c>
      <c r="G26">
        <v>1</v>
      </c>
      <c r="H26">
        <v>3</v>
      </c>
      <c r="I26" t="s">
        <v>312</v>
      </c>
      <c r="J26" t="s">
        <v>313</v>
      </c>
      <c r="K26" t="s">
        <v>314</v>
      </c>
      <c r="L26">
        <v>1348</v>
      </c>
      <c r="N26">
        <v>1009</v>
      </c>
      <c r="O26" t="s">
        <v>84</v>
      </c>
      <c r="P26" t="s">
        <v>84</v>
      </c>
      <c r="Q26">
        <v>1000</v>
      </c>
      <c r="Y26">
        <v>0.003</v>
      </c>
      <c r="AA26">
        <v>12110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0.003</v>
      </c>
      <c r="AV26">
        <v>0</v>
      </c>
      <c r="AW26">
        <v>2</v>
      </c>
      <c r="AX26">
        <v>9239575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ROW(Source!A30)</f>
        <v>30</v>
      </c>
      <c r="B27">
        <v>9239576</v>
      </c>
      <c r="C27">
        <v>9239567</v>
      </c>
      <c r="D27">
        <v>5443397</v>
      </c>
      <c r="E27">
        <v>1</v>
      </c>
      <c r="F27">
        <v>1</v>
      </c>
      <c r="G27">
        <v>1</v>
      </c>
      <c r="H27">
        <v>3</v>
      </c>
      <c r="I27" t="s">
        <v>315</v>
      </c>
      <c r="J27" t="s">
        <v>316</v>
      </c>
      <c r="K27" t="s">
        <v>317</v>
      </c>
      <c r="L27">
        <v>1348</v>
      </c>
      <c r="N27">
        <v>1009</v>
      </c>
      <c r="O27" t="s">
        <v>84</v>
      </c>
      <c r="P27" t="s">
        <v>84</v>
      </c>
      <c r="Q27">
        <v>1000</v>
      </c>
      <c r="Y27">
        <v>6E-05</v>
      </c>
      <c r="AA27">
        <v>11000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6E-05</v>
      </c>
      <c r="AV27">
        <v>0</v>
      </c>
      <c r="AW27">
        <v>2</v>
      </c>
      <c r="AX27">
        <v>9239576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ROW(Source!A30)</f>
        <v>30</v>
      </c>
      <c r="B28">
        <v>9239577</v>
      </c>
      <c r="C28">
        <v>9239567</v>
      </c>
      <c r="D28">
        <v>5443510</v>
      </c>
      <c r="E28">
        <v>1</v>
      </c>
      <c r="F28">
        <v>1</v>
      </c>
      <c r="G28">
        <v>1</v>
      </c>
      <c r="H28">
        <v>3</v>
      </c>
      <c r="I28" t="s">
        <v>318</v>
      </c>
      <c r="J28" t="s">
        <v>319</v>
      </c>
      <c r="K28" t="s">
        <v>320</v>
      </c>
      <c r="L28">
        <v>1346</v>
      </c>
      <c r="N28">
        <v>1009</v>
      </c>
      <c r="O28" t="s">
        <v>321</v>
      </c>
      <c r="P28" t="s">
        <v>321</v>
      </c>
      <c r="Q28">
        <v>1</v>
      </c>
      <c r="Y28">
        <v>0.5</v>
      </c>
      <c r="AA28">
        <v>8.94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0.5</v>
      </c>
      <c r="AV28">
        <v>0</v>
      </c>
      <c r="AW28">
        <v>2</v>
      </c>
      <c r="AX28">
        <v>9239577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ROW(Source!A30)</f>
        <v>30</v>
      </c>
      <c r="B29">
        <v>9239578</v>
      </c>
      <c r="C29">
        <v>9239567</v>
      </c>
      <c r="D29">
        <v>5443512</v>
      </c>
      <c r="E29">
        <v>1</v>
      </c>
      <c r="F29">
        <v>1</v>
      </c>
      <c r="G29">
        <v>1</v>
      </c>
      <c r="H29">
        <v>3</v>
      </c>
      <c r="I29" t="s">
        <v>322</v>
      </c>
      <c r="J29" t="s">
        <v>323</v>
      </c>
      <c r="K29" t="s">
        <v>324</v>
      </c>
      <c r="L29">
        <v>1346</v>
      </c>
      <c r="N29">
        <v>1009</v>
      </c>
      <c r="O29" t="s">
        <v>321</v>
      </c>
      <c r="P29" t="s">
        <v>321</v>
      </c>
      <c r="Q29">
        <v>1</v>
      </c>
      <c r="Y29">
        <v>1.4</v>
      </c>
      <c r="AA29">
        <v>6.6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1.4</v>
      </c>
      <c r="AV29">
        <v>0</v>
      </c>
      <c r="AW29">
        <v>2</v>
      </c>
      <c r="AX29">
        <v>9239578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ROW(Source!A30)</f>
        <v>30</v>
      </c>
      <c r="B30">
        <v>9239579</v>
      </c>
      <c r="C30">
        <v>9239567</v>
      </c>
      <c r="D30">
        <v>5447524</v>
      </c>
      <c r="E30">
        <v>1</v>
      </c>
      <c r="F30">
        <v>1</v>
      </c>
      <c r="G30">
        <v>1</v>
      </c>
      <c r="H30">
        <v>3</v>
      </c>
      <c r="I30" t="s">
        <v>53</v>
      </c>
      <c r="J30" t="s">
        <v>56</v>
      </c>
      <c r="K30" t="s">
        <v>54</v>
      </c>
      <c r="L30">
        <v>1339</v>
      </c>
      <c r="N30">
        <v>1007</v>
      </c>
      <c r="O30" t="s">
        <v>55</v>
      </c>
      <c r="P30" t="s">
        <v>55</v>
      </c>
      <c r="Q30">
        <v>1</v>
      </c>
      <c r="Y30">
        <v>-1.24</v>
      </c>
      <c r="AA30">
        <v>492.8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-1.24</v>
      </c>
      <c r="AV30">
        <v>0</v>
      </c>
      <c r="AW30">
        <v>2</v>
      </c>
      <c r="AX30">
        <v>9239579</v>
      </c>
      <c r="AY30">
        <v>2</v>
      </c>
      <c r="AZ30">
        <v>12288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ROW(Source!A30)</f>
        <v>30</v>
      </c>
      <c r="B31">
        <v>9239581</v>
      </c>
      <c r="C31">
        <v>9239567</v>
      </c>
      <c r="D31">
        <v>0</v>
      </c>
      <c r="E31">
        <v>0</v>
      </c>
      <c r="F31">
        <v>1</v>
      </c>
      <c r="G31">
        <v>1</v>
      </c>
      <c r="H31">
        <v>3</v>
      </c>
      <c r="I31" t="s">
        <v>25</v>
      </c>
      <c r="K31" t="s">
        <v>58</v>
      </c>
      <c r="L31">
        <v>1339</v>
      </c>
      <c r="N31">
        <v>1007</v>
      </c>
      <c r="O31" t="s">
        <v>55</v>
      </c>
      <c r="P31" t="s">
        <v>55</v>
      </c>
      <c r="Q31">
        <v>1</v>
      </c>
      <c r="Y31">
        <v>1.24</v>
      </c>
      <c r="AA31">
        <v>2355.93</v>
      </c>
      <c r="AB31">
        <v>0</v>
      </c>
      <c r="AC31">
        <v>0</v>
      </c>
      <c r="AD31">
        <v>0</v>
      </c>
      <c r="AN31">
        <v>0</v>
      </c>
      <c r="AO31">
        <v>0</v>
      </c>
      <c r="AP31">
        <v>1</v>
      </c>
      <c r="AQ31">
        <v>0</v>
      </c>
      <c r="AR31">
        <v>0</v>
      </c>
      <c r="AT31">
        <v>1.24</v>
      </c>
      <c r="AV31">
        <v>0</v>
      </c>
      <c r="AW31">
        <v>1</v>
      </c>
      <c r="AX31">
        <v>-1</v>
      </c>
      <c r="AY31">
        <v>0</v>
      </c>
      <c r="AZ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ROW(Source!A33)</f>
        <v>33</v>
      </c>
      <c r="B32">
        <v>9239584</v>
      </c>
      <c r="C32">
        <v>9239583</v>
      </c>
      <c r="D32">
        <v>5514222</v>
      </c>
      <c r="E32">
        <v>1</v>
      </c>
      <c r="F32">
        <v>1</v>
      </c>
      <c r="G32">
        <v>1</v>
      </c>
      <c r="H32">
        <v>1</v>
      </c>
      <c r="I32" t="s">
        <v>325</v>
      </c>
      <c r="K32" t="s">
        <v>326</v>
      </c>
      <c r="L32">
        <v>1369</v>
      </c>
      <c r="N32">
        <v>1013</v>
      </c>
      <c r="O32" t="s">
        <v>272</v>
      </c>
      <c r="P32" t="s">
        <v>272</v>
      </c>
      <c r="Q32">
        <v>1</v>
      </c>
      <c r="Y32">
        <v>0.9</v>
      </c>
      <c r="AA32">
        <v>0</v>
      </c>
      <c r="AB32">
        <v>0</v>
      </c>
      <c r="AC32">
        <v>0</v>
      </c>
      <c r="AD32">
        <v>7.8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0.9</v>
      </c>
      <c r="AV32">
        <v>1</v>
      </c>
      <c r="AW32">
        <v>2</v>
      </c>
      <c r="AX32">
        <v>9239584</v>
      </c>
      <c r="AY32">
        <v>1</v>
      </c>
      <c r="AZ32">
        <v>0</v>
      </c>
      <c r="BA32">
        <v>31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ROW(Source!A33)</f>
        <v>33</v>
      </c>
      <c r="B33">
        <v>9239585</v>
      </c>
      <c r="C33">
        <v>9239583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29</v>
      </c>
      <c r="K33" t="s">
        <v>273</v>
      </c>
      <c r="L33">
        <v>608254</v>
      </c>
      <c r="N33">
        <v>1013</v>
      </c>
      <c r="O33" t="s">
        <v>274</v>
      </c>
      <c r="P33" t="s">
        <v>274</v>
      </c>
      <c r="Q33">
        <v>1</v>
      </c>
      <c r="Y33">
        <v>0.21</v>
      </c>
      <c r="AA33">
        <v>0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0.21</v>
      </c>
      <c r="AV33">
        <v>2</v>
      </c>
      <c r="AW33">
        <v>2</v>
      </c>
      <c r="AX33">
        <v>9239585</v>
      </c>
      <c r="AY33">
        <v>1</v>
      </c>
      <c r="AZ33">
        <v>0</v>
      </c>
      <c r="BA33">
        <v>32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ROW(Source!A33)</f>
        <v>33</v>
      </c>
      <c r="B34">
        <v>9239586</v>
      </c>
      <c r="C34">
        <v>9239583</v>
      </c>
      <c r="D34">
        <v>5494334</v>
      </c>
      <c r="E34">
        <v>1</v>
      </c>
      <c r="F34">
        <v>1</v>
      </c>
      <c r="G34">
        <v>1</v>
      </c>
      <c r="H34">
        <v>2</v>
      </c>
      <c r="I34" t="s">
        <v>327</v>
      </c>
      <c r="J34" t="s">
        <v>328</v>
      </c>
      <c r="K34" t="s">
        <v>329</v>
      </c>
      <c r="L34">
        <v>1368</v>
      </c>
      <c r="N34">
        <v>1011</v>
      </c>
      <c r="O34" t="s">
        <v>278</v>
      </c>
      <c r="P34" t="s">
        <v>278</v>
      </c>
      <c r="Q34">
        <v>1</v>
      </c>
      <c r="Y34">
        <v>0.21</v>
      </c>
      <c r="AA34">
        <v>0</v>
      </c>
      <c r="AB34">
        <v>100</v>
      </c>
      <c r="AC34">
        <v>10.06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0.21</v>
      </c>
      <c r="AV34">
        <v>0</v>
      </c>
      <c r="AW34">
        <v>2</v>
      </c>
      <c r="AX34">
        <v>9239586</v>
      </c>
      <c r="AY34">
        <v>1</v>
      </c>
      <c r="AZ34">
        <v>0</v>
      </c>
      <c r="BA34">
        <v>33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ROW(Source!A33)</f>
        <v>33</v>
      </c>
      <c r="B35">
        <v>9239587</v>
      </c>
      <c r="C35">
        <v>9239583</v>
      </c>
      <c r="D35">
        <v>5496473</v>
      </c>
      <c r="E35">
        <v>1</v>
      </c>
      <c r="F35">
        <v>1</v>
      </c>
      <c r="G35">
        <v>1</v>
      </c>
      <c r="H35">
        <v>2</v>
      </c>
      <c r="I35" t="s">
        <v>330</v>
      </c>
      <c r="J35" t="s">
        <v>331</v>
      </c>
      <c r="K35" t="s">
        <v>332</v>
      </c>
      <c r="L35">
        <v>1368</v>
      </c>
      <c r="N35">
        <v>1011</v>
      </c>
      <c r="O35" t="s">
        <v>278</v>
      </c>
      <c r="P35" t="s">
        <v>278</v>
      </c>
      <c r="Q35">
        <v>1</v>
      </c>
      <c r="Y35">
        <v>0.42</v>
      </c>
      <c r="AA35">
        <v>0</v>
      </c>
      <c r="AB35">
        <v>4.91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0.42</v>
      </c>
      <c r="AV35">
        <v>0</v>
      </c>
      <c r="AW35">
        <v>2</v>
      </c>
      <c r="AX35">
        <v>9239587</v>
      </c>
      <c r="AY35">
        <v>1</v>
      </c>
      <c r="AZ35">
        <v>0</v>
      </c>
      <c r="BA35">
        <v>34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ROW(Source!A33)</f>
        <v>33</v>
      </c>
      <c r="B36">
        <v>9239588</v>
      </c>
      <c r="C36">
        <v>9239583</v>
      </c>
      <c r="D36">
        <v>5469612</v>
      </c>
      <c r="E36">
        <v>1</v>
      </c>
      <c r="F36">
        <v>1</v>
      </c>
      <c r="G36">
        <v>1</v>
      </c>
      <c r="H36">
        <v>3</v>
      </c>
      <c r="I36" t="s">
        <v>333</v>
      </c>
      <c r="J36" t="s">
        <v>334</v>
      </c>
      <c r="K36" t="s">
        <v>335</v>
      </c>
      <c r="L36">
        <v>1339</v>
      </c>
      <c r="N36">
        <v>1007</v>
      </c>
      <c r="O36" t="s">
        <v>55</v>
      </c>
      <c r="P36" t="s">
        <v>55</v>
      </c>
      <c r="Q36">
        <v>1</v>
      </c>
      <c r="Y36">
        <v>1.1</v>
      </c>
      <c r="AA36">
        <v>59.99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1.1</v>
      </c>
      <c r="AV36">
        <v>0</v>
      </c>
      <c r="AW36">
        <v>2</v>
      </c>
      <c r="AX36">
        <v>9239588</v>
      </c>
      <c r="AY36">
        <v>1</v>
      </c>
      <c r="AZ36">
        <v>0</v>
      </c>
      <c r="BA36">
        <v>35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ROW(Source!A33)</f>
        <v>33</v>
      </c>
      <c r="B37">
        <v>9239589</v>
      </c>
      <c r="C37">
        <v>9239583</v>
      </c>
      <c r="D37">
        <v>5470416</v>
      </c>
      <c r="E37">
        <v>1</v>
      </c>
      <c r="F37">
        <v>1</v>
      </c>
      <c r="G37">
        <v>1</v>
      </c>
      <c r="H37">
        <v>3</v>
      </c>
      <c r="I37" t="s">
        <v>336</v>
      </c>
      <c r="J37" t="s">
        <v>337</v>
      </c>
      <c r="K37" t="s">
        <v>338</v>
      </c>
      <c r="L37">
        <v>1339</v>
      </c>
      <c r="N37">
        <v>1007</v>
      </c>
      <c r="O37" t="s">
        <v>55</v>
      </c>
      <c r="P37" t="s">
        <v>55</v>
      </c>
      <c r="Q37">
        <v>1</v>
      </c>
      <c r="Y37">
        <v>0.25</v>
      </c>
      <c r="AA37">
        <v>2.44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0.25</v>
      </c>
      <c r="AV37">
        <v>0</v>
      </c>
      <c r="AW37">
        <v>2</v>
      </c>
      <c r="AX37">
        <v>9239589</v>
      </c>
      <c r="AY37">
        <v>1</v>
      </c>
      <c r="AZ37">
        <v>0</v>
      </c>
      <c r="BA37">
        <v>36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ROW(Source!A34)</f>
        <v>34</v>
      </c>
      <c r="B38">
        <v>9239591</v>
      </c>
      <c r="C38">
        <v>9239590</v>
      </c>
      <c r="D38">
        <v>5514222</v>
      </c>
      <c r="E38">
        <v>1</v>
      </c>
      <c r="F38">
        <v>1</v>
      </c>
      <c r="G38">
        <v>1</v>
      </c>
      <c r="H38">
        <v>1</v>
      </c>
      <c r="I38" t="s">
        <v>325</v>
      </c>
      <c r="K38" t="s">
        <v>326</v>
      </c>
      <c r="L38">
        <v>1369</v>
      </c>
      <c r="N38">
        <v>1013</v>
      </c>
      <c r="O38" t="s">
        <v>272</v>
      </c>
      <c r="P38" t="s">
        <v>272</v>
      </c>
      <c r="Q38">
        <v>1</v>
      </c>
      <c r="Y38">
        <v>163.03</v>
      </c>
      <c r="AA38">
        <v>0</v>
      </c>
      <c r="AB38">
        <v>0</v>
      </c>
      <c r="AC38">
        <v>0</v>
      </c>
      <c r="AD38">
        <v>7.8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163.03</v>
      </c>
      <c r="AV38">
        <v>1</v>
      </c>
      <c r="AW38">
        <v>2</v>
      </c>
      <c r="AX38">
        <v>9239591</v>
      </c>
      <c r="AY38">
        <v>1</v>
      </c>
      <c r="AZ38">
        <v>0</v>
      </c>
      <c r="BA38">
        <v>37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ROW(Source!A34)</f>
        <v>34</v>
      </c>
      <c r="B39">
        <v>9239592</v>
      </c>
      <c r="C39">
        <v>9239590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29</v>
      </c>
      <c r="K39" t="s">
        <v>273</v>
      </c>
      <c r="L39">
        <v>608254</v>
      </c>
      <c r="N39">
        <v>1013</v>
      </c>
      <c r="O39" t="s">
        <v>274</v>
      </c>
      <c r="P39" t="s">
        <v>274</v>
      </c>
      <c r="Q39">
        <v>1</v>
      </c>
      <c r="Y39">
        <v>10.51</v>
      </c>
      <c r="AA39">
        <v>0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10.51</v>
      </c>
      <c r="AV39">
        <v>2</v>
      </c>
      <c r="AW39">
        <v>2</v>
      </c>
      <c r="AX39">
        <v>9239592</v>
      </c>
      <c r="AY39">
        <v>1</v>
      </c>
      <c r="AZ39">
        <v>0</v>
      </c>
      <c r="BA39">
        <v>38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ROW(Source!A34)</f>
        <v>34</v>
      </c>
      <c r="B40">
        <v>9239593</v>
      </c>
      <c r="C40">
        <v>9239590</v>
      </c>
      <c r="D40">
        <v>5493705</v>
      </c>
      <c r="E40">
        <v>1</v>
      </c>
      <c r="F40">
        <v>1</v>
      </c>
      <c r="G40">
        <v>1</v>
      </c>
      <c r="H40">
        <v>2</v>
      </c>
      <c r="I40" t="s">
        <v>275</v>
      </c>
      <c r="J40" t="s">
        <v>276</v>
      </c>
      <c r="K40" t="s">
        <v>277</v>
      </c>
      <c r="L40">
        <v>1368</v>
      </c>
      <c r="N40">
        <v>1011</v>
      </c>
      <c r="O40" t="s">
        <v>278</v>
      </c>
      <c r="P40" t="s">
        <v>278</v>
      </c>
      <c r="Q40">
        <v>1</v>
      </c>
      <c r="Y40">
        <v>10.38</v>
      </c>
      <c r="AA40">
        <v>0</v>
      </c>
      <c r="AB40">
        <v>86.4</v>
      </c>
      <c r="AC40">
        <v>13.5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10.38</v>
      </c>
      <c r="AV40">
        <v>0</v>
      </c>
      <c r="AW40">
        <v>2</v>
      </c>
      <c r="AX40">
        <v>9239593</v>
      </c>
      <c r="AY40">
        <v>1</v>
      </c>
      <c r="AZ40">
        <v>0</v>
      </c>
      <c r="BA40">
        <v>39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ROW(Source!A34)</f>
        <v>34</v>
      </c>
      <c r="B41">
        <v>9239594</v>
      </c>
      <c r="C41">
        <v>9239590</v>
      </c>
      <c r="D41">
        <v>5494999</v>
      </c>
      <c r="E41">
        <v>1</v>
      </c>
      <c r="F41">
        <v>1</v>
      </c>
      <c r="G41">
        <v>1</v>
      </c>
      <c r="H41">
        <v>2</v>
      </c>
      <c r="I41" t="s">
        <v>339</v>
      </c>
      <c r="J41" t="s">
        <v>340</v>
      </c>
      <c r="K41" t="s">
        <v>341</v>
      </c>
      <c r="L41">
        <v>1368</v>
      </c>
      <c r="N41">
        <v>1011</v>
      </c>
      <c r="O41" t="s">
        <v>278</v>
      </c>
      <c r="P41" t="s">
        <v>278</v>
      </c>
      <c r="Q41">
        <v>1</v>
      </c>
      <c r="Y41">
        <v>8.03</v>
      </c>
      <c r="AA41">
        <v>0</v>
      </c>
      <c r="AB41">
        <v>1.9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8.03</v>
      </c>
      <c r="AV41">
        <v>0</v>
      </c>
      <c r="AW41">
        <v>2</v>
      </c>
      <c r="AX41">
        <v>9239594</v>
      </c>
      <c r="AY41">
        <v>1</v>
      </c>
      <c r="AZ41">
        <v>0</v>
      </c>
      <c r="BA41">
        <v>40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ROW(Source!A34)</f>
        <v>34</v>
      </c>
      <c r="B42">
        <v>9239595</v>
      </c>
      <c r="C42">
        <v>9239590</v>
      </c>
      <c r="D42">
        <v>5496870</v>
      </c>
      <c r="E42">
        <v>1</v>
      </c>
      <c r="F42">
        <v>1</v>
      </c>
      <c r="G42">
        <v>1</v>
      </c>
      <c r="H42">
        <v>2</v>
      </c>
      <c r="I42" t="s">
        <v>282</v>
      </c>
      <c r="J42" t="s">
        <v>283</v>
      </c>
      <c r="K42" t="s">
        <v>284</v>
      </c>
      <c r="L42">
        <v>1368</v>
      </c>
      <c r="N42">
        <v>1011</v>
      </c>
      <c r="O42" t="s">
        <v>278</v>
      </c>
      <c r="P42" t="s">
        <v>278</v>
      </c>
      <c r="Q42">
        <v>1</v>
      </c>
      <c r="Y42">
        <v>0.13</v>
      </c>
      <c r="AA42">
        <v>0</v>
      </c>
      <c r="AB42">
        <v>75.4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0.13</v>
      </c>
      <c r="AV42">
        <v>0</v>
      </c>
      <c r="AW42">
        <v>2</v>
      </c>
      <c r="AX42">
        <v>9239595</v>
      </c>
      <c r="AY42">
        <v>1</v>
      </c>
      <c r="AZ42">
        <v>0</v>
      </c>
      <c r="BA42">
        <v>41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ROW(Source!A34)</f>
        <v>34</v>
      </c>
      <c r="B43">
        <v>9239596</v>
      </c>
      <c r="C43">
        <v>9239590</v>
      </c>
      <c r="D43">
        <v>5443173</v>
      </c>
      <c r="E43">
        <v>1</v>
      </c>
      <c r="F43">
        <v>1</v>
      </c>
      <c r="G43">
        <v>1</v>
      </c>
      <c r="H43">
        <v>3</v>
      </c>
      <c r="I43" t="s">
        <v>342</v>
      </c>
      <c r="J43" t="s">
        <v>343</v>
      </c>
      <c r="K43" t="s">
        <v>344</v>
      </c>
      <c r="L43">
        <v>1327</v>
      </c>
      <c r="N43">
        <v>1005</v>
      </c>
      <c r="O43" t="s">
        <v>92</v>
      </c>
      <c r="P43" t="s">
        <v>92</v>
      </c>
      <c r="Q43">
        <v>1</v>
      </c>
      <c r="Y43">
        <v>250</v>
      </c>
      <c r="AA43">
        <v>10.2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250</v>
      </c>
      <c r="AV43">
        <v>0</v>
      </c>
      <c r="AW43">
        <v>2</v>
      </c>
      <c r="AX43">
        <v>9239596</v>
      </c>
      <c r="AY43">
        <v>1</v>
      </c>
      <c r="AZ43">
        <v>0</v>
      </c>
      <c r="BA43">
        <v>42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ROW(Source!A34)</f>
        <v>34</v>
      </c>
      <c r="B44">
        <v>9239597</v>
      </c>
      <c r="C44">
        <v>9239590</v>
      </c>
      <c r="D44">
        <v>5466930</v>
      </c>
      <c r="E44">
        <v>1</v>
      </c>
      <c r="F44">
        <v>1</v>
      </c>
      <c r="G44">
        <v>1</v>
      </c>
      <c r="H44">
        <v>3</v>
      </c>
      <c r="I44" t="s">
        <v>76</v>
      </c>
      <c r="J44" t="s">
        <v>78</v>
      </c>
      <c r="K44" t="s">
        <v>77</v>
      </c>
      <c r="L44">
        <v>1339</v>
      </c>
      <c r="N44">
        <v>1007</v>
      </c>
      <c r="O44" t="s">
        <v>55</v>
      </c>
      <c r="P44" t="s">
        <v>55</v>
      </c>
      <c r="Q44">
        <v>1</v>
      </c>
      <c r="Y44">
        <v>-102</v>
      </c>
      <c r="AA44">
        <v>560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-102</v>
      </c>
      <c r="AV44">
        <v>0</v>
      </c>
      <c r="AW44">
        <v>2</v>
      </c>
      <c r="AX44">
        <v>9239597</v>
      </c>
      <c r="AY44">
        <v>2</v>
      </c>
      <c r="AZ44">
        <v>12288</v>
      </c>
      <c r="BA44">
        <v>43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ROW(Source!A34)</f>
        <v>34</v>
      </c>
      <c r="B45">
        <v>9239598</v>
      </c>
      <c r="C45">
        <v>9239590</v>
      </c>
      <c r="D45">
        <v>5470416</v>
      </c>
      <c r="E45">
        <v>1</v>
      </c>
      <c r="F45">
        <v>1</v>
      </c>
      <c r="G45">
        <v>1</v>
      </c>
      <c r="H45">
        <v>3</v>
      </c>
      <c r="I45" t="s">
        <v>336</v>
      </c>
      <c r="J45" t="s">
        <v>337</v>
      </c>
      <c r="K45" t="s">
        <v>338</v>
      </c>
      <c r="L45">
        <v>1339</v>
      </c>
      <c r="N45">
        <v>1007</v>
      </c>
      <c r="O45" t="s">
        <v>55</v>
      </c>
      <c r="P45" t="s">
        <v>55</v>
      </c>
      <c r="Q45">
        <v>1</v>
      </c>
      <c r="Y45">
        <v>1.75</v>
      </c>
      <c r="AA45">
        <v>2.44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1.75</v>
      </c>
      <c r="AV45">
        <v>0</v>
      </c>
      <c r="AW45">
        <v>2</v>
      </c>
      <c r="AX45">
        <v>9239598</v>
      </c>
      <c r="AY45">
        <v>1</v>
      </c>
      <c r="AZ45">
        <v>0</v>
      </c>
      <c r="BA45">
        <v>44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ROW(Source!A34)</f>
        <v>34</v>
      </c>
      <c r="B46">
        <v>9239607</v>
      </c>
      <c r="C46">
        <v>9239590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25</v>
      </c>
      <c r="K46" t="s">
        <v>80</v>
      </c>
      <c r="L46">
        <v>1339</v>
      </c>
      <c r="N46">
        <v>1007</v>
      </c>
      <c r="O46" t="s">
        <v>55</v>
      </c>
      <c r="P46" t="s">
        <v>55</v>
      </c>
      <c r="Q46">
        <v>1</v>
      </c>
      <c r="Y46">
        <v>102</v>
      </c>
      <c r="AA46">
        <v>3855.93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1</v>
      </c>
      <c r="AQ46">
        <v>0</v>
      </c>
      <c r="AR46">
        <v>0</v>
      </c>
      <c r="AT46">
        <v>102</v>
      </c>
      <c r="AV46">
        <v>0</v>
      </c>
      <c r="AW46">
        <v>1</v>
      </c>
      <c r="AX46">
        <v>-1</v>
      </c>
      <c r="AY46">
        <v>0</v>
      </c>
      <c r="AZ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ROW(Source!A37)</f>
        <v>37</v>
      </c>
      <c r="B47">
        <v>9239600</v>
      </c>
      <c r="C47">
        <v>9239599</v>
      </c>
      <c r="D47">
        <v>5514203</v>
      </c>
      <c r="E47">
        <v>1</v>
      </c>
      <c r="F47">
        <v>1</v>
      </c>
      <c r="G47">
        <v>1</v>
      </c>
      <c r="H47">
        <v>1</v>
      </c>
      <c r="I47" t="s">
        <v>345</v>
      </c>
      <c r="K47" t="s">
        <v>346</v>
      </c>
      <c r="L47">
        <v>1369</v>
      </c>
      <c r="N47">
        <v>1013</v>
      </c>
      <c r="O47" t="s">
        <v>272</v>
      </c>
      <c r="P47" t="s">
        <v>272</v>
      </c>
      <c r="Q47">
        <v>1</v>
      </c>
      <c r="Y47">
        <v>12.64</v>
      </c>
      <c r="AA47">
        <v>0</v>
      </c>
      <c r="AB47">
        <v>0</v>
      </c>
      <c r="AC47">
        <v>0</v>
      </c>
      <c r="AD47">
        <v>8.86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12.64</v>
      </c>
      <c r="AV47">
        <v>1</v>
      </c>
      <c r="AW47">
        <v>2</v>
      </c>
      <c r="AX47">
        <v>9239600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ROW(Source!A37)</f>
        <v>37</v>
      </c>
      <c r="B48">
        <v>9239601</v>
      </c>
      <c r="C48">
        <v>9239599</v>
      </c>
      <c r="D48">
        <v>121548</v>
      </c>
      <c r="E48">
        <v>1</v>
      </c>
      <c r="F48">
        <v>1</v>
      </c>
      <c r="G48">
        <v>1</v>
      </c>
      <c r="H48">
        <v>1</v>
      </c>
      <c r="I48" t="s">
        <v>29</v>
      </c>
      <c r="K48" t="s">
        <v>273</v>
      </c>
      <c r="L48">
        <v>608254</v>
      </c>
      <c r="N48">
        <v>1013</v>
      </c>
      <c r="O48" t="s">
        <v>274</v>
      </c>
      <c r="P48" t="s">
        <v>274</v>
      </c>
      <c r="Q48">
        <v>1</v>
      </c>
      <c r="Y48">
        <v>0.38</v>
      </c>
      <c r="AA48">
        <v>0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0.38</v>
      </c>
      <c r="AV48">
        <v>2</v>
      </c>
      <c r="AW48">
        <v>2</v>
      </c>
      <c r="AX48">
        <v>9239601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ROW(Source!A37)</f>
        <v>37</v>
      </c>
      <c r="B49">
        <v>9239602</v>
      </c>
      <c r="C49">
        <v>9239599</v>
      </c>
      <c r="D49">
        <v>5493882</v>
      </c>
      <c r="E49">
        <v>1</v>
      </c>
      <c r="F49">
        <v>1</v>
      </c>
      <c r="G49">
        <v>1</v>
      </c>
      <c r="H49">
        <v>2</v>
      </c>
      <c r="I49" t="s">
        <v>347</v>
      </c>
      <c r="J49" t="s">
        <v>348</v>
      </c>
      <c r="K49" t="s">
        <v>349</v>
      </c>
      <c r="L49">
        <v>1368</v>
      </c>
      <c r="N49">
        <v>1011</v>
      </c>
      <c r="O49" t="s">
        <v>278</v>
      </c>
      <c r="P49" t="s">
        <v>278</v>
      </c>
      <c r="Q49">
        <v>1</v>
      </c>
      <c r="Y49">
        <v>0.16</v>
      </c>
      <c r="AA49">
        <v>0</v>
      </c>
      <c r="AB49">
        <v>112</v>
      </c>
      <c r="AC49">
        <v>13.5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0.16</v>
      </c>
      <c r="AV49">
        <v>0</v>
      </c>
      <c r="AW49">
        <v>2</v>
      </c>
      <c r="AX49">
        <v>9239602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ROW(Source!A37)</f>
        <v>37</v>
      </c>
      <c r="B50">
        <v>9239603</v>
      </c>
      <c r="C50">
        <v>9239599</v>
      </c>
      <c r="D50">
        <v>5496870</v>
      </c>
      <c r="E50">
        <v>1</v>
      </c>
      <c r="F50">
        <v>1</v>
      </c>
      <c r="G50">
        <v>1</v>
      </c>
      <c r="H50">
        <v>2</v>
      </c>
      <c r="I50" t="s">
        <v>282</v>
      </c>
      <c r="J50" t="s">
        <v>283</v>
      </c>
      <c r="K50" t="s">
        <v>284</v>
      </c>
      <c r="L50">
        <v>1368</v>
      </c>
      <c r="N50">
        <v>1011</v>
      </c>
      <c r="O50" t="s">
        <v>278</v>
      </c>
      <c r="P50" t="s">
        <v>278</v>
      </c>
      <c r="Q50">
        <v>1</v>
      </c>
      <c r="Y50">
        <v>0.22</v>
      </c>
      <c r="AA50">
        <v>0</v>
      </c>
      <c r="AB50">
        <v>75.4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0.22</v>
      </c>
      <c r="AV50">
        <v>0</v>
      </c>
      <c r="AW50">
        <v>2</v>
      </c>
      <c r="AX50">
        <v>9239603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ROW(Source!A37)</f>
        <v>37</v>
      </c>
      <c r="B51">
        <v>9239604</v>
      </c>
      <c r="C51">
        <v>9239599</v>
      </c>
      <c r="D51">
        <v>5441877</v>
      </c>
      <c r="E51">
        <v>1</v>
      </c>
      <c r="F51">
        <v>1</v>
      </c>
      <c r="G51">
        <v>1</v>
      </c>
      <c r="H51">
        <v>3</v>
      </c>
      <c r="I51" t="s">
        <v>350</v>
      </c>
      <c r="J51" t="s">
        <v>351</v>
      </c>
      <c r="K51" t="s">
        <v>352</v>
      </c>
      <c r="L51">
        <v>1348</v>
      </c>
      <c r="N51">
        <v>1009</v>
      </c>
      <c r="O51" t="s">
        <v>84</v>
      </c>
      <c r="P51" t="s">
        <v>84</v>
      </c>
      <c r="Q51">
        <v>1000</v>
      </c>
      <c r="Y51">
        <v>0.028</v>
      </c>
      <c r="AA51">
        <v>10200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0.028</v>
      </c>
      <c r="AV51">
        <v>0</v>
      </c>
      <c r="AW51">
        <v>2</v>
      </c>
      <c r="AX51">
        <v>9239604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ROW(Source!A37)</f>
        <v>37</v>
      </c>
      <c r="B52">
        <v>9239605</v>
      </c>
      <c r="C52">
        <v>9239599</v>
      </c>
      <c r="D52">
        <v>5459281</v>
      </c>
      <c r="E52">
        <v>1</v>
      </c>
      <c r="F52">
        <v>1</v>
      </c>
      <c r="G52">
        <v>1</v>
      </c>
      <c r="H52">
        <v>3</v>
      </c>
      <c r="I52" t="s">
        <v>87</v>
      </c>
      <c r="J52" t="s">
        <v>89</v>
      </c>
      <c r="K52" t="s">
        <v>88</v>
      </c>
      <c r="L52">
        <v>1348</v>
      </c>
      <c r="N52">
        <v>1009</v>
      </c>
      <c r="O52" t="s">
        <v>84</v>
      </c>
      <c r="P52" t="s">
        <v>84</v>
      </c>
      <c r="Q52">
        <v>1000</v>
      </c>
      <c r="Y52">
        <v>-1</v>
      </c>
      <c r="AA52">
        <v>5650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-1</v>
      </c>
      <c r="AV52">
        <v>0</v>
      </c>
      <c r="AW52">
        <v>2</v>
      </c>
      <c r="AX52">
        <v>9239605</v>
      </c>
      <c r="AY52">
        <v>2</v>
      </c>
      <c r="AZ52">
        <v>12288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ROW(Source!A37)</f>
        <v>37</v>
      </c>
      <c r="B53">
        <v>9289255</v>
      </c>
      <c r="C53">
        <v>9239599</v>
      </c>
      <c r="D53">
        <v>0</v>
      </c>
      <c r="E53">
        <v>0</v>
      </c>
      <c r="F53">
        <v>1</v>
      </c>
      <c r="G53">
        <v>1</v>
      </c>
      <c r="H53">
        <v>3</v>
      </c>
      <c r="I53" t="s">
        <v>25</v>
      </c>
      <c r="K53" t="s">
        <v>94</v>
      </c>
      <c r="L53">
        <v>1348</v>
      </c>
      <c r="N53">
        <v>1009</v>
      </c>
      <c r="O53" t="s">
        <v>84</v>
      </c>
      <c r="P53" t="s">
        <v>84</v>
      </c>
      <c r="Q53">
        <v>1000</v>
      </c>
      <c r="Y53">
        <v>1</v>
      </c>
      <c r="AA53">
        <v>18300.65</v>
      </c>
      <c r="AB53">
        <v>0</v>
      </c>
      <c r="AC53">
        <v>0</v>
      </c>
      <c r="AD53">
        <v>0</v>
      </c>
      <c r="AN53">
        <v>0</v>
      </c>
      <c r="AO53">
        <v>0</v>
      </c>
      <c r="AP53">
        <v>1</v>
      </c>
      <c r="AQ53">
        <v>0</v>
      </c>
      <c r="AR53">
        <v>0</v>
      </c>
      <c r="AT53">
        <v>1</v>
      </c>
      <c r="AV53">
        <v>0</v>
      </c>
      <c r="AW53">
        <v>1</v>
      </c>
      <c r="AX53">
        <v>-1</v>
      </c>
      <c r="AY53">
        <v>0</v>
      </c>
      <c r="AZ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ROW(Source!A37)</f>
        <v>37</v>
      </c>
      <c r="B54">
        <v>9289258</v>
      </c>
      <c r="C54">
        <v>9239599</v>
      </c>
      <c r="D54">
        <v>0</v>
      </c>
      <c r="E54">
        <v>0</v>
      </c>
      <c r="F54">
        <v>1</v>
      </c>
      <c r="G54">
        <v>1</v>
      </c>
      <c r="H54">
        <v>3</v>
      </c>
      <c r="I54" t="s">
        <v>25</v>
      </c>
      <c r="K54" t="s">
        <v>91</v>
      </c>
      <c r="L54">
        <v>1327</v>
      </c>
      <c r="N54">
        <v>1005</v>
      </c>
      <c r="O54" t="s">
        <v>92</v>
      </c>
      <c r="P54" t="s">
        <v>92</v>
      </c>
      <c r="Q54">
        <v>1</v>
      </c>
      <c r="Y54">
        <v>98.98</v>
      </c>
      <c r="AA54">
        <v>34.6</v>
      </c>
      <c r="AB54">
        <v>0</v>
      </c>
      <c r="AC54">
        <v>0</v>
      </c>
      <c r="AD54">
        <v>0</v>
      </c>
      <c r="AN54">
        <v>0</v>
      </c>
      <c r="AO54">
        <v>0</v>
      </c>
      <c r="AP54">
        <v>1</v>
      </c>
      <c r="AQ54">
        <v>0</v>
      </c>
      <c r="AR54">
        <v>0</v>
      </c>
      <c r="AT54">
        <v>98.98</v>
      </c>
      <c r="AV54">
        <v>0</v>
      </c>
      <c r="AW54">
        <v>1</v>
      </c>
      <c r="AX54">
        <v>-1</v>
      </c>
      <c r="AY54">
        <v>0</v>
      </c>
      <c r="AZ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50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7507600</v>
      </c>
      <c r="C1">
        <v>7507599</v>
      </c>
      <c r="D1">
        <v>5528931</v>
      </c>
      <c r="E1">
        <v>1</v>
      </c>
      <c r="F1">
        <v>1</v>
      </c>
      <c r="G1">
        <v>1</v>
      </c>
      <c r="H1">
        <v>1</v>
      </c>
      <c r="I1" t="s">
        <v>270</v>
      </c>
      <c r="K1" t="s">
        <v>271</v>
      </c>
      <c r="L1">
        <v>1369</v>
      </c>
      <c r="N1">
        <v>1013</v>
      </c>
      <c r="O1" t="s">
        <v>272</v>
      </c>
      <c r="P1" t="s">
        <v>272</v>
      </c>
      <c r="Q1">
        <v>1</v>
      </c>
      <c r="X1">
        <v>318.92</v>
      </c>
      <c r="Y1">
        <v>0</v>
      </c>
      <c r="Z1">
        <v>0</v>
      </c>
      <c r="AA1">
        <v>0</v>
      </c>
      <c r="AB1">
        <v>10.07</v>
      </c>
      <c r="AC1">
        <v>0</v>
      </c>
      <c r="AD1">
        <v>1</v>
      </c>
      <c r="AE1">
        <v>1</v>
      </c>
      <c r="AG1">
        <v>318.92</v>
      </c>
      <c r="AH1">
        <v>2</v>
      </c>
      <c r="AI1">
        <v>7507600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7507601</v>
      </c>
      <c r="C2">
        <v>7507599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29</v>
      </c>
      <c r="K2" t="s">
        <v>273</v>
      </c>
      <c r="L2">
        <v>608254</v>
      </c>
      <c r="N2">
        <v>1013</v>
      </c>
      <c r="O2" t="s">
        <v>274</v>
      </c>
      <c r="P2" t="s">
        <v>274</v>
      </c>
      <c r="Q2">
        <v>1</v>
      </c>
      <c r="X2">
        <v>77.38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77.38</v>
      </c>
      <c r="AH2">
        <v>2</v>
      </c>
      <c r="AI2">
        <v>7507601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7507602</v>
      </c>
      <c r="C3">
        <v>7507599</v>
      </c>
      <c r="D3">
        <v>5493705</v>
      </c>
      <c r="E3">
        <v>1</v>
      </c>
      <c r="F3">
        <v>1</v>
      </c>
      <c r="G3">
        <v>1</v>
      </c>
      <c r="H3">
        <v>2</v>
      </c>
      <c r="I3" t="s">
        <v>275</v>
      </c>
      <c r="J3" t="s">
        <v>276</v>
      </c>
      <c r="K3" t="s">
        <v>277</v>
      </c>
      <c r="L3">
        <v>1368</v>
      </c>
      <c r="N3">
        <v>1011</v>
      </c>
      <c r="O3" t="s">
        <v>278</v>
      </c>
      <c r="P3" t="s">
        <v>278</v>
      </c>
      <c r="Q3">
        <v>1</v>
      </c>
      <c r="X3">
        <v>76.8</v>
      </c>
      <c r="Y3">
        <v>0</v>
      </c>
      <c r="Z3">
        <v>86.4</v>
      </c>
      <c r="AA3">
        <v>13.5</v>
      </c>
      <c r="AB3">
        <v>0</v>
      </c>
      <c r="AC3">
        <v>0</v>
      </c>
      <c r="AD3">
        <v>1</v>
      </c>
      <c r="AE3">
        <v>0</v>
      </c>
      <c r="AG3">
        <v>76.8</v>
      </c>
      <c r="AH3">
        <v>2</v>
      </c>
      <c r="AI3">
        <v>7507602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7507603</v>
      </c>
      <c r="C4">
        <v>7507599</v>
      </c>
      <c r="D4">
        <v>5494274</v>
      </c>
      <c r="E4">
        <v>1</v>
      </c>
      <c r="F4">
        <v>1</v>
      </c>
      <c r="G4">
        <v>1</v>
      </c>
      <c r="H4">
        <v>2</v>
      </c>
      <c r="I4" t="s">
        <v>279</v>
      </c>
      <c r="J4" t="s">
        <v>280</v>
      </c>
      <c r="K4" t="s">
        <v>281</v>
      </c>
      <c r="L4">
        <v>1368</v>
      </c>
      <c r="N4">
        <v>1011</v>
      </c>
      <c r="O4" t="s">
        <v>278</v>
      </c>
      <c r="P4" t="s">
        <v>278</v>
      </c>
      <c r="Q4">
        <v>1</v>
      </c>
      <c r="X4">
        <v>23.8</v>
      </c>
      <c r="Y4">
        <v>0</v>
      </c>
      <c r="Z4">
        <v>8.1</v>
      </c>
      <c r="AA4">
        <v>0</v>
      </c>
      <c r="AB4">
        <v>0</v>
      </c>
      <c r="AC4">
        <v>0</v>
      </c>
      <c r="AD4">
        <v>1</v>
      </c>
      <c r="AE4">
        <v>0</v>
      </c>
      <c r="AG4">
        <v>23.8</v>
      </c>
      <c r="AH4">
        <v>2</v>
      </c>
      <c r="AI4">
        <v>7507603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7507604</v>
      </c>
      <c r="C5">
        <v>7507599</v>
      </c>
      <c r="D5">
        <v>5496870</v>
      </c>
      <c r="E5">
        <v>1</v>
      </c>
      <c r="F5">
        <v>1</v>
      </c>
      <c r="G5">
        <v>1</v>
      </c>
      <c r="H5">
        <v>2</v>
      </c>
      <c r="I5" t="s">
        <v>282</v>
      </c>
      <c r="J5" t="s">
        <v>283</v>
      </c>
      <c r="K5" t="s">
        <v>284</v>
      </c>
      <c r="L5">
        <v>1368</v>
      </c>
      <c r="N5">
        <v>1011</v>
      </c>
      <c r="O5" t="s">
        <v>278</v>
      </c>
      <c r="P5" t="s">
        <v>278</v>
      </c>
      <c r="Q5">
        <v>1</v>
      </c>
      <c r="X5">
        <v>0.58</v>
      </c>
      <c r="Y5">
        <v>0</v>
      </c>
      <c r="Z5">
        <v>75.4</v>
      </c>
      <c r="AA5">
        <v>0</v>
      </c>
      <c r="AB5">
        <v>0</v>
      </c>
      <c r="AC5">
        <v>0</v>
      </c>
      <c r="AD5">
        <v>1</v>
      </c>
      <c r="AE5">
        <v>0</v>
      </c>
      <c r="AG5">
        <v>0.58</v>
      </c>
      <c r="AH5">
        <v>2</v>
      </c>
      <c r="AI5">
        <v>7507604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7507605</v>
      </c>
      <c r="C6">
        <v>7507599</v>
      </c>
      <c r="D6">
        <v>5443008</v>
      </c>
      <c r="E6">
        <v>1</v>
      </c>
      <c r="F6">
        <v>1</v>
      </c>
      <c r="G6">
        <v>1</v>
      </c>
      <c r="H6">
        <v>3</v>
      </c>
      <c r="I6" t="s">
        <v>285</v>
      </c>
      <c r="J6" t="s">
        <v>286</v>
      </c>
      <c r="K6" t="s">
        <v>287</v>
      </c>
      <c r="L6">
        <v>1348</v>
      </c>
      <c r="N6">
        <v>1009</v>
      </c>
      <c r="O6" t="s">
        <v>84</v>
      </c>
      <c r="P6" t="s">
        <v>84</v>
      </c>
      <c r="Q6">
        <v>1000</v>
      </c>
      <c r="X6">
        <v>0.04</v>
      </c>
      <c r="Y6">
        <v>9424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0.04</v>
      </c>
      <c r="AH6">
        <v>2</v>
      </c>
      <c r="AI6">
        <v>7507605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7507606</v>
      </c>
      <c r="C7">
        <v>7507599</v>
      </c>
      <c r="D7">
        <v>5467858</v>
      </c>
      <c r="E7">
        <v>1</v>
      </c>
      <c r="F7">
        <v>1</v>
      </c>
      <c r="G7">
        <v>1</v>
      </c>
      <c r="H7">
        <v>3</v>
      </c>
      <c r="I7" t="s">
        <v>288</v>
      </c>
      <c r="J7" t="s">
        <v>289</v>
      </c>
      <c r="K7" t="s">
        <v>290</v>
      </c>
      <c r="L7">
        <v>1339</v>
      </c>
      <c r="N7">
        <v>1007</v>
      </c>
      <c r="O7" t="s">
        <v>55</v>
      </c>
      <c r="P7" t="s">
        <v>55</v>
      </c>
      <c r="Q7">
        <v>1</v>
      </c>
      <c r="X7">
        <v>2.48</v>
      </c>
      <c r="Y7">
        <v>519.8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2.48</v>
      </c>
      <c r="AH7">
        <v>2</v>
      </c>
      <c r="AI7">
        <v>7507606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7507607</v>
      </c>
      <c r="C8">
        <v>7507599</v>
      </c>
      <c r="D8">
        <v>5473215</v>
      </c>
      <c r="E8">
        <v>1</v>
      </c>
      <c r="F8">
        <v>1</v>
      </c>
      <c r="G8">
        <v>1</v>
      </c>
      <c r="H8">
        <v>3</v>
      </c>
      <c r="I8" t="s">
        <v>353</v>
      </c>
      <c r="J8" t="s">
        <v>28</v>
      </c>
      <c r="K8" t="s">
        <v>354</v>
      </c>
      <c r="L8">
        <v>1354</v>
      </c>
      <c r="N8">
        <v>1010</v>
      </c>
      <c r="O8" t="s">
        <v>27</v>
      </c>
      <c r="P8" t="s">
        <v>27</v>
      </c>
      <c r="Q8">
        <v>1</v>
      </c>
      <c r="X8">
        <v>100</v>
      </c>
      <c r="Y8">
        <v>0</v>
      </c>
      <c r="Z8">
        <v>0</v>
      </c>
      <c r="AA8">
        <v>0</v>
      </c>
      <c r="AB8">
        <v>0</v>
      </c>
      <c r="AC8">
        <v>1</v>
      </c>
      <c r="AD8">
        <v>1</v>
      </c>
      <c r="AE8">
        <v>0</v>
      </c>
      <c r="AG8">
        <v>100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ROW(Source!A27)</f>
        <v>27</v>
      </c>
      <c r="B9">
        <v>8804352</v>
      </c>
      <c r="C9">
        <v>8804351</v>
      </c>
      <c r="D9">
        <v>5521231</v>
      </c>
      <c r="E9">
        <v>1</v>
      </c>
      <c r="F9">
        <v>1</v>
      </c>
      <c r="G9">
        <v>1</v>
      </c>
      <c r="H9">
        <v>1</v>
      </c>
      <c r="I9" t="s">
        <v>291</v>
      </c>
      <c r="K9" t="s">
        <v>292</v>
      </c>
      <c r="L9">
        <v>1369</v>
      </c>
      <c r="N9">
        <v>1013</v>
      </c>
      <c r="O9" t="s">
        <v>272</v>
      </c>
      <c r="P9" t="s">
        <v>272</v>
      </c>
      <c r="Q9">
        <v>1</v>
      </c>
      <c r="X9">
        <v>224.91</v>
      </c>
      <c r="Y9">
        <v>0</v>
      </c>
      <c r="Z9">
        <v>0</v>
      </c>
      <c r="AA9">
        <v>0</v>
      </c>
      <c r="AB9">
        <v>9.19</v>
      </c>
      <c r="AC9">
        <v>0</v>
      </c>
      <c r="AD9">
        <v>1</v>
      </c>
      <c r="AE9">
        <v>1</v>
      </c>
      <c r="AG9">
        <v>224.91</v>
      </c>
      <c r="AH9">
        <v>2</v>
      </c>
      <c r="AI9">
        <v>8804352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ROW(Source!A27)</f>
        <v>27</v>
      </c>
      <c r="B10">
        <v>8804353</v>
      </c>
      <c r="C10">
        <v>8804351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29</v>
      </c>
      <c r="K10" t="s">
        <v>273</v>
      </c>
      <c r="L10">
        <v>608254</v>
      </c>
      <c r="N10">
        <v>1013</v>
      </c>
      <c r="O10" t="s">
        <v>274</v>
      </c>
      <c r="P10" t="s">
        <v>274</v>
      </c>
      <c r="Q10">
        <v>1</v>
      </c>
      <c r="X10">
        <v>26.91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G10">
        <v>26.91</v>
      </c>
      <c r="AH10">
        <v>2</v>
      </c>
      <c r="AI10">
        <v>8804353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ROW(Source!A27)</f>
        <v>27</v>
      </c>
      <c r="B11">
        <v>8804354</v>
      </c>
      <c r="C11">
        <v>8804351</v>
      </c>
      <c r="D11">
        <v>5493705</v>
      </c>
      <c r="E11">
        <v>1</v>
      </c>
      <c r="F11">
        <v>1</v>
      </c>
      <c r="G11">
        <v>1</v>
      </c>
      <c r="H11">
        <v>2</v>
      </c>
      <c r="I11" t="s">
        <v>275</v>
      </c>
      <c r="J11" t="s">
        <v>276</v>
      </c>
      <c r="K11" t="s">
        <v>277</v>
      </c>
      <c r="L11">
        <v>1368</v>
      </c>
      <c r="N11">
        <v>1011</v>
      </c>
      <c r="O11" t="s">
        <v>278</v>
      </c>
      <c r="P11" t="s">
        <v>278</v>
      </c>
      <c r="Q11">
        <v>1</v>
      </c>
      <c r="X11">
        <v>26.11</v>
      </c>
      <c r="Y11">
        <v>0</v>
      </c>
      <c r="Z11">
        <v>86.4</v>
      </c>
      <c r="AA11">
        <v>13.5</v>
      </c>
      <c r="AB11">
        <v>0</v>
      </c>
      <c r="AC11">
        <v>0</v>
      </c>
      <c r="AD11">
        <v>1</v>
      </c>
      <c r="AE11">
        <v>0</v>
      </c>
      <c r="AG11">
        <v>26.11</v>
      </c>
      <c r="AH11">
        <v>2</v>
      </c>
      <c r="AI11">
        <v>8804354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ROW(Source!A27)</f>
        <v>27</v>
      </c>
      <c r="B12">
        <v>8804355</v>
      </c>
      <c r="C12">
        <v>8804351</v>
      </c>
      <c r="D12">
        <v>5494274</v>
      </c>
      <c r="E12">
        <v>1</v>
      </c>
      <c r="F12">
        <v>1</v>
      </c>
      <c r="G12">
        <v>1</v>
      </c>
      <c r="H12">
        <v>2</v>
      </c>
      <c r="I12" t="s">
        <v>279</v>
      </c>
      <c r="J12" t="s">
        <v>280</v>
      </c>
      <c r="K12" t="s">
        <v>281</v>
      </c>
      <c r="L12">
        <v>1368</v>
      </c>
      <c r="N12">
        <v>1011</v>
      </c>
      <c r="O12" t="s">
        <v>278</v>
      </c>
      <c r="P12" t="s">
        <v>278</v>
      </c>
      <c r="Q12">
        <v>1</v>
      </c>
      <c r="X12">
        <v>11.14</v>
      </c>
      <c r="Y12">
        <v>0</v>
      </c>
      <c r="Z12">
        <v>8.1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11.14</v>
      </c>
      <c r="AH12">
        <v>2</v>
      </c>
      <c r="AI12">
        <v>8804355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ROW(Source!A27)</f>
        <v>27</v>
      </c>
      <c r="B13">
        <v>8804356</v>
      </c>
      <c r="C13">
        <v>8804351</v>
      </c>
      <c r="D13">
        <v>5496870</v>
      </c>
      <c r="E13">
        <v>1</v>
      </c>
      <c r="F13">
        <v>1</v>
      </c>
      <c r="G13">
        <v>1</v>
      </c>
      <c r="H13">
        <v>2</v>
      </c>
      <c r="I13" t="s">
        <v>282</v>
      </c>
      <c r="J13" t="s">
        <v>283</v>
      </c>
      <c r="K13" t="s">
        <v>284</v>
      </c>
      <c r="L13">
        <v>1368</v>
      </c>
      <c r="N13">
        <v>1011</v>
      </c>
      <c r="O13" t="s">
        <v>278</v>
      </c>
      <c r="P13" t="s">
        <v>278</v>
      </c>
      <c r="Q13">
        <v>1</v>
      </c>
      <c r="X13">
        <v>0.8</v>
      </c>
      <c r="Y13">
        <v>0</v>
      </c>
      <c r="Z13">
        <v>75.4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0.8</v>
      </c>
      <c r="AH13">
        <v>2</v>
      </c>
      <c r="AI13">
        <v>8804356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ROW(Source!A27)</f>
        <v>27</v>
      </c>
      <c r="B14">
        <v>8804357</v>
      </c>
      <c r="C14">
        <v>8804351</v>
      </c>
      <c r="D14">
        <v>5443008</v>
      </c>
      <c r="E14">
        <v>1</v>
      </c>
      <c r="F14">
        <v>1</v>
      </c>
      <c r="G14">
        <v>1</v>
      </c>
      <c r="H14">
        <v>3</v>
      </c>
      <c r="I14" t="s">
        <v>285</v>
      </c>
      <c r="J14" t="s">
        <v>286</v>
      </c>
      <c r="K14" t="s">
        <v>287</v>
      </c>
      <c r="L14">
        <v>1348</v>
      </c>
      <c r="N14">
        <v>1009</v>
      </c>
      <c r="O14" t="s">
        <v>84</v>
      </c>
      <c r="P14" t="s">
        <v>84</v>
      </c>
      <c r="Q14">
        <v>1000</v>
      </c>
      <c r="X14">
        <v>0.01</v>
      </c>
      <c r="Y14">
        <v>9424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0.01</v>
      </c>
      <c r="AH14">
        <v>2</v>
      </c>
      <c r="AI14">
        <v>8804357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ROW(Source!A27)</f>
        <v>27</v>
      </c>
      <c r="B15">
        <v>8804358</v>
      </c>
      <c r="C15">
        <v>8804351</v>
      </c>
      <c r="D15">
        <v>5449316</v>
      </c>
      <c r="E15">
        <v>1</v>
      </c>
      <c r="F15">
        <v>1</v>
      </c>
      <c r="G15">
        <v>1</v>
      </c>
      <c r="H15">
        <v>3</v>
      </c>
      <c r="I15" t="s">
        <v>293</v>
      </c>
      <c r="J15" t="s">
        <v>294</v>
      </c>
      <c r="K15" t="s">
        <v>295</v>
      </c>
      <c r="L15">
        <v>1348</v>
      </c>
      <c r="N15">
        <v>1009</v>
      </c>
      <c r="O15" t="s">
        <v>84</v>
      </c>
      <c r="P15" t="s">
        <v>84</v>
      </c>
      <c r="Q15">
        <v>1000</v>
      </c>
      <c r="X15">
        <v>0.005</v>
      </c>
      <c r="Y15">
        <v>9550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0.005</v>
      </c>
      <c r="AH15">
        <v>2</v>
      </c>
      <c r="AI15">
        <v>8804358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ROW(Source!A27)</f>
        <v>27</v>
      </c>
      <c r="B16">
        <v>8804359</v>
      </c>
      <c r="C16">
        <v>8804351</v>
      </c>
      <c r="D16">
        <v>5457400</v>
      </c>
      <c r="E16">
        <v>1</v>
      </c>
      <c r="F16">
        <v>1</v>
      </c>
      <c r="G16">
        <v>1</v>
      </c>
      <c r="H16">
        <v>3</v>
      </c>
      <c r="I16" t="s">
        <v>296</v>
      </c>
      <c r="J16" t="s">
        <v>297</v>
      </c>
      <c r="K16" t="s">
        <v>298</v>
      </c>
      <c r="L16">
        <v>1348</v>
      </c>
      <c r="N16">
        <v>1009</v>
      </c>
      <c r="O16" t="s">
        <v>84</v>
      </c>
      <c r="P16" t="s">
        <v>84</v>
      </c>
      <c r="Q16">
        <v>1000</v>
      </c>
      <c r="X16">
        <v>0.036</v>
      </c>
      <c r="Y16">
        <v>10045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0.036</v>
      </c>
      <c r="AH16">
        <v>2</v>
      </c>
      <c r="AI16">
        <v>8804359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ROW(Source!A27)</f>
        <v>27</v>
      </c>
      <c r="B17">
        <v>8804360</v>
      </c>
      <c r="C17">
        <v>8804351</v>
      </c>
      <c r="D17">
        <v>5467858</v>
      </c>
      <c r="E17">
        <v>1</v>
      </c>
      <c r="F17">
        <v>1</v>
      </c>
      <c r="G17">
        <v>1</v>
      </c>
      <c r="H17">
        <v>3</v>
      </c>
      <c r="I17" t="s">
        <v>288</v>
      </c>
      <c r="J17" t="s">
        <v>289</v>
      </c>
      <c r="K17" t="s">
        <v>290</v>
      </c>
      <c r="L17">
        <v>1339</v>
      </c>
      <c r="N17">
        <v>1007</v>
      </c>
      <c r="O17" t="s">
        <v>55</v>
      </c>
      <c r="P17" t="s">
        <v>55</v>
      </c>
      <c r="Q17">
        <v>1</v>
      </c>
      <c r="X17">
        <v>2.09</v>
      </c>
      <c r="Y17">
        <v>519.8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2.09</v>
      </c>
      <c r="AH17">
        <v>2</v>
      </c>
      <c r="AI17">
        <v>8804360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ROW(Source!A27)</f>
        <v>27</v>
      </c>
      <c r="B18">
        <v>8804361</v>
      </c>
      <c r="C18">
        <v>8804351</v>
      </c>
      <c r="D18">
        <v>5473215</v>
      </c>
      <c r="E18">
        <v>1</v>
      </c>
      <c r="F18">
        <v>1</v>
      </c>
      <c r="G18">
        <v>1</v>
      </c>
      <c r="H18">
        <v>3</v>
      </c>
      <c r="I18" t="s">
        <v>353</v>
      </c>
      <c r="J18" t="s">
        <v>28</v>
      </c>
      <c r="K18" t="s">
        <v>354</v>
      </c>
      <c r="L18">
        <v>1354</v>
      </c>
      <c r="N18">
        <v>1010</v>
      </c>
      <c r="O18" t="s">
        <v>27</v>
      </c>
      <c r="P18" t="s">
        <v>27</v>
      </c>
      <c r="Q18">
        <v>1</v>
      </c>
      <c r="X18">
        <v>100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1</v>
      </c>
      <c r="AE18">
        <v>0</v>
      </c>
      <c r="AG18">
        <v>100</v>
      </c>
      <c r="AH18">
        <v>3</v>
      </c>
      <c r="AI18">
        <v>-1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ROW(Source!A30)</f>
        <v>30</v>
      </c>
      <c r="B19">
        <v>9239568</v>
      </c>
      <c r="C19">
        <v>9239567</v>
      </c>
      <c r="D19">
        <v>5518255</v>
      </c>
      <c r="E19">
        <v>1</v>
      </c>
      <c r="F19">
        <v>1</v>
      </c>
      <c r="G19">
        <v>1</v>
      </c>
      <c r="H19">
        <v>1</v>
      </c>
      <c r="I19" t="s">
        <v>299</v>
      </c>
      <c r="K19" t="s">
        <v>300</v>
      </c>
      <c r="L19">
        <v>1369</v>
      </c>
      <c r="N19">
        <v>1013</v>
      </c>
      <c r="O19" t="s">
        <v>272</v>
      </c>
      <c r="P19" t="s">
        <v>272</v>
      </c>
      <c r="Q19">
        <v>1</v>
      </c>
      <c r="X19">
        <v>14.8</v>
      </c>
      <c r="Y19">
        <v>0</v>
      </c>
      <c r="Z19">
        <v>0</v>
      </c>
      <c r="AA19">
        <v>0</v>
      </c>
      <c r="AB19">
        <v>9.3</v>
      </c>
      <c r="AC19">
        <v>0</v>
      </c>
      <c r="AD19">
        <v>1</v>
      </c>
      <c r="AE19">
        <v>1</v>
      </c>
      <c r="AG19">
        <v>14.8</v>
      </c>
      <c r="AH19">
        <v>2</v>
      </c>
      <c r="AI19">
        <v>9239568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ROW(Source!A30)</f>
        <v>30</v>
      </c>
      <c r="B20">
        <v>9239569</v>
      </c>
      <c r="C20">
        <v>9239567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29</v>
      </c>
      <c r="K20" t="s">
        <v>273</v>
      </c>
      <c r="L20">
        <v>608254</v>
      </c>
      <c r="N20">
        <v>1013</v>
      </c>
      <c r="O20" t="s">
        <v>274</v>
      </c>
      <c r="P20" t="s">
        <v>274</v>
      </c>
      <c r="Q20">
        <v>1</v>
      </c>
      <c r="X20">
        <v>0.51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G20">
        <v>0.51</v>
      </c>
      <c r="AH20">
        <v>2</v>
      </c>
      <c r="AI20">
        <v>9239569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ROW(Source!A30)</f>
        <v>30</v>
      </c>
      <c r="B21">
        <v>9239570</v>
      </c>
      <c r="C21">
        <v>9239567</v>
      </c>
      <c r="D21">
        <v>5496525</v>
      </c>
      <c r="E21">
        <v>1</v>
      </c>
      <c r="F21">
        <v>1</v>
      </c>
      <c r="G21">
        <v>1</v>
      </c>
      <c r="H21">
        <v>2</v>
      </c>
      <c r="I21" t="s">
        <v>301</v>
      </c>
      <c r="J21" t="s">
        <v>302</v>
      </c>
      <c r="K21" t="s">
        <v>303</v>
      </c>
      <c r="L21">
        <v>1368</v>
      </c>
      <c r="N21">
        <v>1011</v>
      </c>
      <c r="O21" t="s">
        <v>278</v>
      </c>
      <c r="P21" t="s">
        <v>278</v>
      </c>
      <c r="Q21">
        <v>1</v>
      </c>
      <c r="X21">
        <v>0.2</v>
      </c>
      <c r="Y21">
        <v>0</v>
      </c>
      <c r="Z21">
        <v>2.16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0.2</v>
      </c>
      <c r="AH21">
        <v>2</v>
      </c>
      <c r="AI21">
        <v>9239570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ROW(Source!A30)</f>
        <v>30</v>
      </c>
      <c r="B22">
        <v>9239571</v>
      </c>
      <c r="C22">
        <v>9239567</v>
      </c>
      <c r="D22">
        <v>5496527</v>
      </c>
      <c r="E22">
        <v>1</v>
      </c>
      <c r="F22">
        <v>1</v>
      </c>
      <c r="G22">
        <v>1</v>
      </c>
      <c r="H22">
        <v>2</v>
      </c>
      <c r="I22" t="s">
        <v>304</v>
      </c>
      <c r="J22" t="s">
        <v>302</v>
      </c>
      <c r="K22" t="s">
        <v>305</v>
      </c>
      <c r="L22">
        <v>1368</v>
      </c>
      <c r="N22">
        <v>1011</v>
      </c>
      <c r="O22" t="s">
        <v>278</v>
      </c>
      <c r="P22" t="s">
        <v>278</v>
      </c>
      <c r="Q22">
        <v>1</v>
      </c>
      <c r="X22">
        <v>1.68</v>
      </c>
      <c r="Y22">
        <v>0</v>
      </c>
      <c r="Z22">
        <v>13.3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1.68</v>
      </c>
      <c r="AH22">
        <v>2</v>
      </c>
      <c r="AI22">
        <v>9239571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ROW(Source!A30)</f>
        <v>30</v>
      </c>
      <c r="B23">
        <v>9239572</v>
      </c>
      <c r="C23">
        <v>9239567</v>
      </c>
      <c r="D23">
        <v>5496870</v>
      </c>
      <c r="E23">
        <v>1</v>
      </c>
      <c r="F23">
        <v>1</v>
      </c>
      <c r="G23">
        <v>1</v>
      </c>
      <c r="H23">
        <v>2</v>
      </c>
      <c r="I23" t="s">
        <v>282</v>
      </c>
      <c r="J23" t="s">
        <v>283</v>
      </c>
      <c r="K23" t="s">
        <v>284</v>
      </c>
      <c r="L23">
        <v>1368</v>
      </c>
      <c r="N23">
        <v>1011</v>
      </c>
      <c r="O23" t="s">
        <v>278</v>
      </c>
      <c r="P23" t="s">
        <v>278</v>
      </c>
      <c r="Q23">
        <v>1</v>
      </c>
      <c r="X23">
        <v>0.51</v>
      </c>
      <c r="Y23">
        <v>0</v>
      </c>
      <c r="Z23">
        <v>75.4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0.51</v>
      </c>
      <c r="AH23">
        <v>2</v>
      </c>
      <c r="AI23">
        <v>9239572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ROW(Source!A30)</f>
        <v>30</v>
      </c>
      <c r="B24">
        <v>9239573</v>
      </c>
      <c r="C24">
        <v>9239567</v>
      </c>
      <c r="D24">
        <v>5441432</v>
      </c>
      <c r="E24">
        <v>1</v>
      </c>
      <c r="F24">
        <v>1</v>
      </c>
      <c r="G24">
        <v>1</v>
      </c>
      <c r="H24">
        <v>3</v>
      </c>
      <c r="I24" t="s">
        <v>306</v>
      </c>
      <c r="J24" t="s">
        <v>307</v>
      </c>
      <c r="K24" t="s">
        <v>308</v>
      </c>
      <c r="L24">
        <v>1348</v>
      </c>
      <c r="N24">
        <v>1009</v>
      </c>
      <c r="O24" t="s">
        <v>84</v>
      </c>
      <c r="P24" t="s">
        <v>84</v>
      </c>
      <c r="Q24">
        <v>1000</v>
      </c>
      <c r="X24">
        <v>0.00726</v>
      </c>
      <c r="Y24">
        <v>7590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0.00726</v>
      </c>
      <c r="AH24">
        <v>2</v>
      </c>
      <c r="AI24">
        <v>9239573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ROW(Source!A30)</f>
        <v>30</v>
      </c>
      <c r="B25">
        <v>9239574</v>
      </c>
      <c r="C25">
        <v>9239567</v>
      </c>
      <c r="D25">
        <v>5441869</v>
      </c>
      <c r="E25">
        <v>1</v>
      </c>
      <c r="F25">
        <v>1</v>
      </c>
      <c r="G25">
        <v>1</v>
      </c>
      <c r="H25">
        <v>3</v>
      </c>
      <c r="I25" t="s">
        <v>309</v>
      </c>
      <c r="J25" t="s">
        <v>310</v>
      </c>
      <c r="K25" t="s">
        <v>311</v>
      </c>
      <c r="L25">
        <v>1348</v>
      </c>
      <c r="N25">
        <v>1009</v>
      </c>
      <c r="O25" t="s">
        <v>84</v>
      </c>
      <c r="P25" t="s">
        <v>84</v>
      </c>
      <c r="Q25">
        <v>1000</v>
      </c>
      <c r="X25">
        <v>0.002</v>
      </c>
      <c r="Y25">
        <v>14690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0.002</v>
      </c>
      <c r="AH25">
        <v>2</v>
      </c>
      <c r="AI25">
        <v>9239574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ROW(Source!A30)</f>
        <v>30</v>
      </c>
      <c r="B26">
        <v>9239575</v>
      </c>
      <c r="C26">
        <v>9239567</v>
      </c>
      <c r="D26">
        <v>5441873</v>
      </c>
      <c r="E26">
        <v>1</v>
      </c>
      <c r="F26">
        <v>1</v>
      </c>
      <c r="G26">
        <v>1</v>
      </c>
      <c r="H26">
        <v>3</v>
      </c>
      <c r="I26" t="s">
        <v>312</v>
      </c>
      <c r="J26" t="s">
        <v>313</v>
      </c>
      <c r="K26" t="s">
        <v>314</v>
      </c>
      <c r="L26">
        <v>1348</v>
      </c>
      <c r="N26">
        <v>1009</v>
      </c>
      <c r="O26" t="s">
        <v>84</v>
      </c>
      <c r="P26" t="s">
        <v>84</v>
      </c>
      <c r="Q26">
        <v>1000</v>
      </c>
      <c r="X26">
        <v>0.003</v>
      </c>
      <c r="Y26">
        <v>12110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0.003</v>
      </c>
      <c r="AH26">
        <v>2</v>
      </c>
      <c r="AI26">
        <v>9239575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ROW(Source!A30)</f>
        <v>30</v>
      </c>
      <c r="B27">
        <v>9239576</v>
      </c>
      <c r="C27">
        <v>9239567</v>
      </c>
      <c r="D27">
        <v>5443397</v>
      </c>
      <c r="E27">
        <v>1</v>
      </c>
      <c r="F27">
        <v>1</v>
      </c>
      <c r="G27">
        <v>1</v>
      </c>
      <c r="H27">
        <v>3</v>
      </c>
      <c r="I27" t="s">
        <v>315</v>
      </c>
      <c r="J27" t="s">
        <v>316</v>
      </c>
      <c r="K27" t="s">
        <v>317</v>
      </c>
      <c r="L27">
        <v>1348</v>
      </c>
      <c r="N27">
        <v>1009</v>
      </c>
      <c r="O27" t="s">
        <v>84</v>
      </c>
      <c r="P27" t="s">
        <v>84</v>
      </c>
      <c r="Q27">
        <v>1000</v>
      </c>
      <c r="X27">
        <v>6E-05</v>
      </c>
      <c r="Y27">
        <v>11000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6E-05</v>
      </c>
      <c r="AH27">
        <v>2</v>
      </c>
      <c r="AI27">
        <v>9239576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ROW(Source!A30)</f>
        <v>30</v>
      </c>
      <c r="B28">
        <v>9239577</v>
      </c>
      <c r="C28">
        <v>9239567</v>
      </c>
      <c r="D28">
        <v>5443510</v>
      </c>
      <c r="E28">
        <v>1</v>
      </c>
      <c r="F28">
        <v>1</v>
      </c>
      <c r="G28">
        <v>1</v>
      </c>
      <c r="H28">
        <v>3</v>
      </c>
      <c r="I28" t="s">
        <v>318</v>
      </c>
      <c r="J28" t="s">
        <v>319</v>
      </c>
      <c r="K28" t="s">
        <v>320</v>
      </c>
      <c r="L28">
        <v>1346</v>
      </c>
      <c r="N28">
        <v>1009</v>
      </c>
      <c r="O28" t="s">
        <v>321</v>
      </c>
      <c r="P28" t="s">
        <v>321</v>
      </c>
      <c r="Q28">
        <v>1</v>
      </c>
      <c r="X28">
        <v>0.5</v>
      </c>
      <c r="Y28">
        <v>8.94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0.5</v>
      </c>
      <c r="AH28">
        <v>2</v>
      </c>
      <c r="AI28">
        <v>9239577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9239578</v>
      </c>
      <c r="C29">
        <v>9239567</v>
      </c>
      <c r="D29">
        <v>5443512</v>
      </c>
      <c r="E29">
        <v>1</v>
      </c>
      <c r="F29">
        <v>1</v>
      </c>
      <c r="G29">
        <v>1</v>
      </c>
      <c r="H29">
        <v>3</v>
      </c>
      <c r="I29" t="s">
        <v>322</v>
      </c>
      <c r="J29" t="s">
        <v>323</v>
      </c>
      <c r="K29" t="s">
        <v>324</v>
      </c>
      <c r="L29">
        <v>1346</v>
      </c>
      <c r="N29">
        <v>1009</v>
      </c>
      <c r="O29" t="s">
        <v>321</v>
      </c>
      <c r="P29" t="s">
        <v>321</v>
      </c>
      <c r="Q29">
        <v>1</v>
      </c>
      <c r="X29">
        <v>1.4</v>
      </c>
      <c r="Y29">
        <v>6.6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1.4</v>
      </c>
      <c r="AH29">
        <v>2</v>
      </c>
      <c r="AI29">
        <v>9239578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9239579</v>
      </c>
      <c r="C30">
        <v>9239567</v>
      </c>
      <c r="D30">
        <v>5447524</v>
      </c>
      <c r="E30">
        <v>1</v>
      </c>
      <c r="F30">
        <v>1</v>
      </c>
      <c r="G30">
        <v>1</v>
      </c>
      <c r="H30">
        <v>3</v>
      </c>
      <c r="I30" t="s">
        <v>53</v>
      </c>
      <c r="J30" t="s">
        <v>56</v>
      </c>
      <c r="K30" t="s">
        <v>54</v>
      </c>
      <c r="L30">
        <v>1339</v>
      </c>
      <c r="N30">
        <v>1007</v>
      </c>
      <c r="O30" t="s">
        <v>55</v>
      </c>
      <c r="P30" t="s">
        <v>55</v>
      </c>
      <c r="Q30">
        <v>1</v>
      </c>
      <c r="X30">
        <v>1.24</v>
      </c>
      <c r="Y30">
        <v>492.8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1.24</v>
      </c>
      <c r="AH30">
        <v>2</v>
      </c>
      <c r="AI30">
        <v>9239579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ROW(Source!A33)</f>
        <v>33</v>
      </c>
      <c r="B31">
        <v>9239584</v>
      </c>
      <c r="C31">
        <v>9239583</v>
      </c>
      <c r="D31">
        <v>5514222</v>
      </c>
      <c r="E31">
        <v>1</v>
      </c>
      <c r="F31">
        <v>1</v>
      </c>
      <c r="G31">
        <v>1</v>
      </c>
      <c r="H31">
        <v>1</v>
      </c>
      <c r="I31" t="s">
        <v>325</v>
      </c>
      <c r="K31" t="s">
        <v>326</v>
      </c>
      <c r="L31">
        <v>1369</v>
      </c>
      <c r="N31">
        <v>1013</v>
      </c>
      <c r="O31" t="s">
        <v>272</v>
      </c>
      <c r="P31" t="s">
        <v>272</v>
      </c>
      <c r="Q31">
        <v>1</v>
      </c>
      <c r="X31">
        <v>0.9</v>
      </c>
      <c r="Y31">
        <v>0</v>
      </c>
      <c r="Z31">
        <v>0</v>
      </c>
      <c r="AA31">
        <v>0</v>
      </c>
      <c r="AB31">
        <v>7.8</v>
      </c>
      <c r="AC31">
        <v>0</v>
      </c>
      <c r="AD31">
        <v>1</v>
      </c>
      <c r="AE31">
        <v>1</v>
      </c>
      <c r="AG31">
        <v>0.9</v>
      </c>
      <c r="AH31">
        <v>2</v>
      </c>
      <c r="AI31">
        <v>9239584</v>
      </c>
      <c r="AJ31">
        <v>32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ROW(Source!A33)</f>
        <v>33</v>
      </c>
      <c r="B32">
        <v>9239585</v>
      </c>
      <c r="C32">
        <v>9239583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29</v>
      </c>
      <c r="K32" t="s">
        <v>273</v>
      </c>
      <c r="L32">
        <v>608254</v>
      </c>
      <c r="N32">
        <v>1013</v>
      </c>
      <c r="O32" t="s">
        <v>274</v>
      </c>
      <c r="P32" t="s">
        <v>274</v>
      </c>
      <c r="Q32">
        <v>1</v>
      </c>
      <c r="X32">
        <v>0.21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G32">
        <v>0.21</v>
      </c>
      <c r="AH32">
        <v>2</v>
      </c>
      <c r="AI32">
        <v>9239585</v>
      </c>
      <c r="AJ32">
        <v>33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ROW(Source!A33)</f>
        <v>33</v>
      </c>
      <c r="B33">
        <v>9239586</v>
      </c>
      <c r="C33">
        <v>9239583</v>
      </c>
      <c r="D33">
        <v>5494334</v>
      </c>
      <c r="E33">
        <v>1</v>
      </c>
      <c r="F33">
        <v>1</v>
      </c>
      <c r="G33">
        <v>1</v>
      </c>
      <c r="H33">
        <v>2</v>
      </c>
      <c r="I33" t="s">
        <v>327</v>
      </c>
      <c r="J33" t="s">
        <v>328</v>
      </c>
      <c r="K33" t="s">
        <v>329</v>
      </c>
      <c r="L33">
        <v>1368</v>
      </c>
      <c r="N33">
        <v>1011</v>
      </c>
      <c r="O33" t="s">
        <v>278</v>
      </c>
      <c r="P33" t="s">
        <v>278</v>
      </c>
      <c r="Q33">
        <v>1</v>
      </c>
      <c r="X33">
        <v>0.21</v>
      </c>
      <c r="Y33">
        <v>0</v>
      </c>
      <c r="Z33">
        <v>100</v>
      </c>
      <c r="AA33">
        <v>10.06</v>
      </c>
      <c r="AB33">
        <v>0</v>
      </c>
      <c r="AC33">
        <v>0</v>
      </c>
      <c r="AD33">
        <v>1</v>
      </c>
      <c r="AE33">
        <v>0</v>
      </c>
      <c r="AG33">
        <v>0.21</v>
      </c>
      <c r="AH33">
        <v>2</v>
      </c>
      <c r="AI33">
        <v>9239586</v>
      </c>
      <c r="AJ33">
        <v>34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ROW(Source!A33)</f>
        <v>33</v>
      </c>
      <c r="B34">
        <v>9239587</v>
      </c>
      <c r="C34">
        <v>9239583</v>
      </c>
      <c r="D34">
        <v>5496473</v>
      </c>
      <c r="E34">
        <v>1</v>
      </c>
      <c r="F34">
        <v>1</v>
      </c>
      <c r="G34">
        <v>1</v>
      </c>
      <c r="H34">
        <v>2</v>
      </c>
      <c r="I34" t="s">
        <v>330</v>
      </c>
      <c r="J34" t="s">
        <v>331</v>
      </c>
      <c r="K34" t="s">
        <v>332</v>
      </c>
      <c r="L34">
        <v>1368</v>
      </c>
      <c r="N34">
        <v>1011</v>
      </c>
      <c r="O34" t="s">
        <v>278</v>
      </c>
      <c r="P34" t="s">
        <v>278</v>
      </c>
      <c r="Q34">
        <v>1</v>
      </c>
      <c r="X34">
        <v>0.42</v>
      </c>
      <c r="Y34">
        <v>0</v>
      </c>
      <c r="Z34">
        <v>4.91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0.42</v>
      </c>
      <c r="AH34">
        <v>2</v>
      </c>
      <c r="AI34">
        <v>9239587</v>
      </c>
      <c r="AJ34">
        <v>35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ROW(Source!A33)</f>
        <v>33</v>
      </c>
      <c r="B35">
        <v>9239588</v>
      </c>
      <c r="C35">
        <v>9239583</v>
      </c>
      <c r="D35">
        <v>5469612</v>
      </c>
      <c r="E35">
        <v>1</v>
      </c>
      <c r="F35">
        <v>1</v>
      </c>
      <c r="G35">
        <v>1</v>
      </c>
      <c r="H35">
        <v>3</v>
      </c>
      <c r="I35" t="s">
        <v>333</v>
      </c>
      <c r="J35" t="s">
        <v>334</v>
      </c>
      <c r="K35" t="s">
        <v>335</v>
      </c>
      <c r="L35">
        <v>1339</v>
      </c>
      <c r="N35">
        <v>1007</v>
      </c>
      <c r="O35" t="s">
        <v>55</v>
      </c>
      <c r="P35" t="s">
        <v>55</v>
      </c>
      <c r="Q35">
        <v>1</v>
      </c>
      <c r="X35">
        <v>1.1</v>
      </c>
      <c r="Y35">
        <v>59.99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1.1</v>
      </c>
      <c r="AH35">
        <v>2</v>
      </c>
      <c r="AI35">
        <v>9239588</v>
      </c>
      <c r="AJ35">
        <v>36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ROW(Source!A33)</f>
        <v>33</v>
      </c>
      <c r="B36">
        <v>9239589</v>
      </c>
      <c r="C36">
        <v>9239583</v>
      </c>
      <c r="D36">
        <v>5470416</v>
      </c>
      <c r="E36">
        <v>1</v>
      </c>
      <c r="F36">
        <v>1</v>
      </c>
      <c r="G36">
        <v>1</v>
      </c>
      <c r="H36">
        <v>3</v>
      </c>
      <c r="I36" t="s">
        <v>336</v>
      </c>
      <c r="J36" t="s">
        <v>337</v>
      </c>
      <c r="K36" t="s">
        <v>338</v>
      </c>
      <c r="L36">
        <v>1339</v>
      </c>
      <c r="N36">
        <v>1007</v>
      </c>
      <c r="O36" t="s">
        <v>55</v>
      </c>
      <c r="P36" t="s">
        <v>55</v>
      </c>
      <c r="Q36">
        <v>1</v>
      </c>
      <c r="X36">
        <v>0.25</v>
      </c>
      <c r="Y36">
        <v>2.44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0.25</v>
      </c>
      <c r="AH36">
        <v>2</v>
      </c>
      <c r="AI36">
        <v>9239589</v>
      </c>
      <c r="AJ36">
        <v>37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ROW(Source!A34)</f>
        <v>34</v>
      </c>
      <c r="B37">
        <v>9239591</v>
      </c>
      <c r="C37">
        <v>9239590</v>
      </c>
      <c r="D37">
        <v>5514222</v>
      </c>
      <c r="E37">
        <v>1</v>
      </c>
      <c r="F37">
        <v>1</v>
      </c>
      <c r="G37">
        <v>1</v>
      </c>
      <c r="H37">
        <v>1</v>
      </c>
      <c r="I37" t="s">
        <v>325</v>
      </c>
      <c r="K37" t="s">
        <v>326</v>
      </c>
      <c r="L37">
        <v>1369</v>
      </c>
      <c r="N37">
        <v>1013</v>
      </c>
      <c r="O37" t="s">
        <v>272</v>
      </c>
      <c r="P37" t="s">
        <v>272</v>
      </c>
      <c r="Q37">
        <v>1</v>
      </c>
      <c r="X37">
        <v>163.03</v>
      </c>
      <c r="Y37">
        <v>0</v>
      </c>
      <c r="Z37">
        <v>0</v>
      </c>
      <c r="AA37">
        <v>0</v>
      </c>
      <c r="AB37">
        <v>7.8</v>
      </c>
      <c r="AC37">
        <v>0</v>
      </c>
      <c r="AD37">
        <v>1</v>
      </c>
      <c r="AE37">
        <v>1</v>
      </c>
      <c r="AG37">
        <v>163.03</v>
      </c>
      <c r="AH37">
        <v>2</v>
      </c>
      <c r="AI37">
        <v>9239591</v>
      </c>
      <c r="AJ37">
        <v>38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ROW(Source!A34)</f>
        <v>34</v>
      </c>
      <c r="B38">
        <v>9239592</v>
      </c>
      <c r="C38">
        <v>9239590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29</v>
      </c>
      <c r="K38" t="s">
        <v>273</v>
      </c>
      <c r="L38">
        <v>608254</v>
      </c>
      <c r="N38">
        <v>1013</v>
      </c>
      <c r="O38" t="s">
        <v>274</v>
      </c>
      <c r="P38" t="s">
        <v>274</v>
      </c>
      <c r="Q38">
        <v>1</v>
      </c>
      <c r="X38">
        <v>10.51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G38">
        <v>10.51</v>
      </c>
      <c r="AH38">
        <v>2</v>
      </c>
      <c r="AI38">
        <v>9239592</v>
      </c>
      <c r="AJ38">
        <v>39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ROW(Source!A34)</f>
        <v>34</v>
      </c>
      <c r="B39">
        <v>9239593</v>
      </c>
      <c r="C39">
        <v>9239590</v>
      </c>
      <c r="D39">
        <v>5493705</v>
      </c>
      <c r="E39">
        <v>1</v>
      </c>
      <c r="F39">
        <v>1</v>
      </c>
      <c r="G39">
        <v>1</v>
      </c>
      <c r="H39">
        <v>2</v>
      </c>
      <c r="I39" t="s">
        <v>275</v>
      </c>
      <c r="J39" t="s">
        <v>276</v>
      </c>
      <c r="K39" t="s">
        <v>277</v>
      </c>
      <c r="L39">
        <v>1368</v>
      </c>
      <c r="N39">
        <v>1011</v>
      </c>
      <c r="O39" t="s">
        <v>278</v>
      </c>
      <c r="P39" t="s">
        <v>278</v>
      </c>
      <c r="Q39">
        <v>1</v>
      </c>
      <c r="X39">
        <v>10.38</v>
      </c>
      <c r="Y39">
        <v>0</v>
      </c>
      <c r="Z39">
        <v>86.4</v>
      </c>
      <c r="AA39">
        <v>13.5</v>
      </c>
      <c r="AB39">
        <v>0</v>
      </c>
      <c r="AC39">
        <v>0</v>
      </c>
      <c r="AD39">
        <v>1</v>
      </c>
      <c r="AE39">
        <v>0</v>
      </c>
      <c r="AG39">
        <v>10.38</v>
      </c>
      <c r="AH39">
        <v>2</v>
      </c>
      <c r="AI39">
        <v>9239593</v>
      </c>
      <c r="AJ39">
        <v>40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ROW(Source!A34)</f>
        <v>34</v>
      </c>
      <c r="B40">
        <v>9239594</v>
      </c>
      <c r="C40">
        <v>9239590</v>
      </c>
      <c r="D40">
        <v>5494999</v>
      </c>
      <c r="E40">
        <v>1</v>
      </c>
      <c r="F40">
        <v>1</v>
      </c>
      <c r="G40">
        <v>1</v>
      </c>
      <c r="H40">
        <v>2</v>
      </c>
      <c r="I40" t="s">
        <v>339</v>
      </c>
      <c r="J40" t="s">
        <v>340</v>
      </c>
      <c r="K40" t="s">
        <v>341</v>
      </c>
      <c r="L40">
        <v>1368</v>
      </c>
      <c r="N40">
        <v>1011</v>
      </c>
      <c r="O40" t="s">
        <v>278</v>
      </c>
      <c r="P40" t="s">
        <v>278</v>
      </c>
      <c r="Q40">
        <v>1</v>
      </c>
      <c r="X40">
        <v>8.03</v>
      </c>
      <c r="Y40">
        <v>0</v>
      </c>
      <c r="Z40">
        <v>1.9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8.03</v>
      </c>
      <c r="AH40">
        <v>2</v>
      </c>
      <c r="AI40">
        <v>9239594</v>
      </c>
      <c r="AJ40">
        <v>41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ROW(Source!A34)</f>
        <v>34</v>
      </c>
      <c r="B41">
        <v>9239595</v>
      </c>
      <c r="C41">
        <v>9239590</v>
      </c>
      <c r="D41">
        <v>5496870</v>
      </c>
      <c r="E41">
        <v>1</v>
      </c>
      <c r="F41">
        <v>1</v>
      </c>
      <c r="G41">
        <v>1</v>
      </c>
      <c r="H41">
        <v>2</v>
      </c>
      <c r="I41" t="s">
        <v>282</v>
      </c>
      <c r="J41" t="s">
        <v>283</v>
      </c>
      <c r="K41" t="s">
        <v>284</v>
      </c>
      <c r="L41">
        <v>1368</v>
      </c>
      <c r="N41">
        <v>1011</v>
      </c>
      <c r="O41" t="s">
        <v>278</v>
      </c>
      <c r="P41" t="s">
        <v>278</v>
      </c>
      <c r="Q41">
        <v>1</v>
      </c>
      <c r="X41">
        <v>0.13</v>
      </c>
      <c r="Y41">
        <v>0</v>
      </c>
      <c r="Z41">
        <v>75.4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0.13</v>
      </c>
      <c r="AH41">
        <v>2</v>
      </c>
      <c r="AI41">
        <v>9239595</v>
      </c>
      <c r="AJ41">
        <v>42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ROW(Source!A34)</f>
        <v>34</v>
      </c>
      <c r="B42">
        <v>9239596</v>
      </c>
      <c r="C42">
        <v>9239590</v>
      </c>
      <c r="D42">
        <v>5443173</v>
      </c>
      <c r="E42">
        <v>1</v>
      </c>
      <c r="F42">
        <v>1</v>
      </c>
      <c r="G42">
        <v>1</v>
      </c>
      <c r="H42">
        <v>3</v>
      </c>
      <c r="I42" t="s">
        <v>342</v>
      </c>
      <c r="J42" t="s">
        <v>343</v>
      </c>
      <c r="K42" t="s">
        <v>344</v>
      </c>
      <c r="L42">
        <v>1327</v>
      </c>
      <c r="N42">
        <v>1005</v>
      </c>
      <c r="O42" t="s">
        <v>92</v>
      </c>
      <c r="P42" t="s">
        <v>92</v>
      </c>
      <c r="Q42">
        <v>1</v>
      </c>
      <c r="X42">
        <v>250</v>
      </c>
      <c r="Y42">
        <v>10.2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250</v>
      </c>
      <c r="AH42">
        <v>2</v>
      </c>
      <c r="AI42">
        <v>9239596</v>
      </c>
      <c r="AJ42">
        <v>43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ROW(Source!A34)</f>
        <v>34</v>
      </c>
      <c r="B43">
        <v>9239597</v>
      </c>
      <c r="C43">
        <v>9239590</v>
      </c>
      <c r="D43">
        <v>5466930</v>
      </c>
      <c r="E43">
        <v>1</v>
      </c>
      <c r="F43">
        <v>1</v>
      </c>
      <c r="G43">
        <v>1</v>
      </c>
      <c r="H43">
        <v>3</v>
      </c>
      <c r="I43" t="s">
        <v>76</v>
      </c>
      <c r="J43" t="s">
        <v>78</v>
      </c>
      <c r="K43" t="s">
        <v>77</v>
      </c>
      <c r="L43">
        <v>1339</v>
      </c>
      <c r="N43">
        <v>1007</v>
      </c>
      <c r="O43" t="s">
        <v>55</v>
      </c>
      <c r="P43" t="s">
        <v>55</v>
      </c>
      <c r="Q43">
        <v>1</v>
      </c>
      <c r="X43">
        <v>102</v>
      </c>
      <c r="Y43">
        <v>560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102</v>
      </c>
      <c r="AH43">
        <v>2</v>
      </c>
      <c r="AI43">
        <v>9239597</v>
      </c>
      <c r="AJ43">
        <v>44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ROW(Source!A34)</f>
        <v>34</v>
      </c>
      <c r="B44">
        <v>9239598</v>
      </c>
      <c r="C44">
        <v>9239590</v>
      </c>
      <c r="D44">
        <v>5470416</v>
      </c>
      <c r="E44">
        <v>1</v>
      </c>
      <c r="F44">
        <v>1</v>
      </c>
      <c r="G44">
        <v>1</v>
      </c>
      <c r="H44">
        <v>3</v>
      </c>
      <c r="I44" t="s">
        <v>336</v>
      </c>
      <c r="J44" t="s">
        <v>337</v>
      </c>
      <c r="K44" t="s">
        <v>338</v>
      </c>
      <c r="L44">
        <v>1339</v>
      </c>
      <c r="N44">
        <v>1007</v>
      </c>
      <c r="O44" t="s">
        <v>55</v>
      </c>
      <c r="P44" t="s">
        <v>55</v>
      </c>
      <c r="Q44">
        <v>1</v>
      </c>
      <c r="X44">
        <v>1.75</v>
      </c>
      <c r="Y44">
        <v>2.44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1.75</v>
      </c>
      <c r="AH44">
        <v>2</v>
      </c>
      <c r="AI44">
        <v>9239598</v>
      </c>
      <c r="AJ44">
        <v>45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ROW(Source!A37)</f>
        <v>37</v>
      </c>
      <c r="B45">
        <v>9239600</v>
      </c>
      <c r="C45">
        <v>9239599</v>
      </c>
      <c r="D45">
        <v>5514203</v>
      </c>
      <c r="E45">
        <v>1</v>
      </c>
      <c r="F45">
        <v>1</v>
      </c>
      <c r="G45">
        <v>1</v>
      </c>
      <c r="H45">
        <v>1</v>
      </c>
      <c r="I45" t="s">
        <v>345</v>
      </c>
      <c r="K45" t="s">
        <v>346</v>
      </c>
      <c r="L45">
        <v>1369</v>
      </c>
      <c r="N45">
        <v>1013</v>
      </c>
      <c r="O45" t="s">
        <v>272</v>
      </c>
      <c r="P45" t="s">
        <v>272</v>
      </c>
      <c r="Q45">
        <v>1</v>
      </c>
      <c r="X45">
        <v>12.64</v>
      </c>
      <c r="Y45">
        <v>0</v>
      </c>
      <c r="Z45">
        <v>0</v>
      </c>
      <c r="AA45">
        <v>0</v>
      </c>
      <c r="AB45">
        <v>8.86</v>
      </c>
      <c r="AC45">
        <v>0</v>
      </c>
      <c r="AD45">
        <v>1</v>
      </c>
      <c r="AE45">
        <v>1</v>
      </c>
      <c r="AG45">
        <v>12.64</v>
      </c>
      <c r="AH45">
        <v>2</v>
      </c>
      <c r="AI45">
        <v>9239600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ROW(Source!A37)</f>
        <v>37</v>
      </c>
      <c r="B46">
        <v>9239601</v>
      </c>
      <c r="C46">
        <v>9239599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29</v>
      </c>
      <c r="K46" t="s">
        <v>273</v>
      </c>
      <c r="L46">
        <v>608254</v>
      </c>
      <c r="N46">
        <v>1013</v>
      </c>
      <c r="O46" t="s">
        <v>274</v>
      </c>
      <c r="P46" t="s">
        <v>274</v>
      </c>
      <c r="Q46">
        <v>1</v>
      </c>
      <c r="X46">
        <v>0.38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G46">
        <v>0.38</v>
      </c>
      <c r="AH46">
        <v>2</v>
      </c>
      <c r="AI46">
        <v>9239601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ROW(Source!A37)</f>
        <v>37</v>
      </c>
      <c r="B47">
        <v>9239602</v>
      </c>
      <c r="C47">
        <v>9239599</v>
      </c>
      <c r="D47">
        <v>5493882</v>
      </c>
      <c r="E47">
        <v>1</v>
      </c>
      <c r="F47">
        <v>1</v>
      </c>
      <c r="G47">
        <v>1</v>
      </c>
      <c r="H47">
        <v>2</v>
      </c>
      <c r="I47" t="s">
        <v>347</v>
      </c>
      <c r="J47" t="s">
        <v>348</v>
      </c>
      <c r="K47" t="s">
        <v>349</v>
      </c>
      <c r="L47">
        <v>1368</v>
      </c>
      <c r="N47">
        <v>1011</v>
      </c>
      <c r="O47" t="s">
        <v>278</v>
      </c>
      <c r="P47" t="s">
        <v>278</v>
      </c>
      <c r="Q47">
        <v>1</v>
      </c>
      <c r="X47">
        <v>0.16</v>
      </c>
      <c r="Y47">
        <v>0</v>
      </c>
      <c r="Z47">
        <v>112</v>
      </c>
      <c r="AA47">
        <v>13.5</v>
      </c>
      <c r="AB47">
        <v>0</v>
      </c>
      <c r="AC47">
        <v>0</v>
      </c>
      <c r="AD47">
        <v>1</v>
      </c>
      <c r="AE47">
        <v>0</v>
      </c>
      <c r="AG47">
        <v>0.16</v>
      </c>
      <c r="AH47">
        <v>2</v>
      </c>
      <c r="AI47">
        <v>9239602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ROW(Source!A37)</f>
        <v>37</v>
      </c>
      <c r="B48">
        <v>9239603</v>
      </c>
      <c r="C48">
        <v>9239599</v>
      </c>
      <c r="D48">
        <v>5496870</v>
      </c>
      <c r="E48">
        <v>1</v>
      </c>
      <c r="F48">
        <v>1</v>
      </c>
      <c r="G48">
        <v>1</v>
      </c>
      <c r="H48">
        <v>2</v>
      </c>
      <c r="I48" t="s">
        <v>282</v>
      </c>
      <c r="J48" t="s">
        <v>283</v>
      </c>
      <c r="K48" t="s">
        <v>284</v>
      </c>
      <c r="L48">
        <v>1368</v>
      </c>
      <c r="N48">
        <v>1011</v>
      </c>
      <c r="O48" t="s">
        <v>278</v>
      </c>
      <c r="P48" t="s">
        <v>278</v>
      </c>
      <c r="Q48">
        <v>1</v>
      </c>
      <c r="X48">
        <v>0.22</v>
      </c>
      <c r="Y48">
        <v>0</v>
      </c>
      <c r="Z48">
        <v>75.4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0.22</v>
      </c>
      <c r="AH48">
        <v>2</v>
      </c>
      <c r="AI48">
        <v>9239603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ROW(Source!A37)</f>
        <v>37</v>
      </c>
      <c r="B49">
        <v>9239604</v>
      </c>
      <c r="C49">
        <v>9239599</v>
      </c>
      <c r="D49">
        <v>5441877</v>
      </c>
      <c r="E49">
        <v>1</v>
      </c>
      <c r="F49">
        <v>1</v>
      </c>
      <c r="G49">
        <v>1</v>
      </c>
      <c r="H49">
        <v>3</v>
      </c>
      <c r="I49" t="s">
        <v>350</v>
      </c>
      <c r="J49" t="s">
        <v>351</v>
      </c>
      <c r="K49" t="s">
        <v>352</v>
      </c>
      <c r="L49">
        <v>1348</v>
      </c>
      <c r="N49">
        <v>1009</v>
      </c>
      <c r="O49" t="s">
        <v>84</v>
      </c>
      <c r="P49" t="s">
        <v>84</v>
      </c>
      <c r="Q49">
        <v>1000</v>
      </c>
      <c r="X49">
        <v>0.028</v>
      </c>
      <c r="Y49">
        <v>10200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0.028</v>
      </c>
      <c r="AH49">
        <v>2</v>
      </c>
      <c r="AI49">
        <v>9239604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ROW(Source!A37)</f>
        <v>37</v>
      </c>
      <c r="B50">
        <v>9239605</v>
      </c>
      <c r="C50">
        <v>9239599</v>
      </c>
      <c r="D50">
        <v>5459281</v>
      </c>
      <c r="E50">
        <v>1</v>
      </c>
      <c r="F50">
        <v>1</v>
      </c>
      <c r="G50">
        <v>1</v>
      </c>
      <c r="H50">
        <v>3</v>
      </c>
      <c r="I50" t="s">
        <v>87</v>
      </c>
      <c r="J50" t="s">
        <v>89</v>
      </c>
      <c r="K50" t="s">
        <v>88</v>
      </c>
      <c r="L50">
        <v>1348</v>
      </c>
      <c r="N50">
        <v>1009</v>
      </c>
      <c r="O50" t="s">
        <v>84</v>
      </c>
      <c r="P50" t="s">
        <v>84</v>
      </c>
      <c r="Q50">
        <v>1000</v>
      </c>
      <c r="X50">
        <v>1</v>
      </c>
      <c r="Y50">
        <v>5650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1</v>
      </c>
      <c r="AH50">
        <v>2</v>
      </c>
      <c r="AI50">
        <v>9239605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Kompanichenko</cp:lastModifiedBy>
  <cp:lastPrinted>2008-02-29T07:29:57Z</cp:lastPrinted>
  <dcterms:modified xsi:type="dcterms:W3CDTF">2008-12-26T14:53:56Z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