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'Лист1'!$18:$18</definedName>
    <definedName name="_xlnm.Print_Area" localSheetId="0">'Лист1'!$A$1:$L$99</definedName>
  </definedNames>
  <calcPr fullCalcOnLoad="1"/>
</workbook>
</file>

<file path=xl/sharedStrings.xml><?xml version="1.0" encoding="utf-8"?>
<sst xmlns="http://schemas.openxmlformats.org/spreadsheetml/2006/main" count="1031" uniqueCount="265">
  <si>
    <t>Smeta.ru  (095) 974-1589</t>
  </si>
  <si>
    <t>_PS_</t>
  </si>
  <si>
    <t>Smeta.ru</t>
  </si>
  <si>
    <t>ЗАО "ВестСтрой"  Доп. раб. место  FStS-0022186</t>
  </si>
  <si>
    <t>Новый объект</t>
  </si>
  <si>
    <t>Устройство полимерных полов</t>
  </si>
  <si>
    <t/>
  </si>
  <si>
    <t>Мособлгосэкспертиза 2008г</t>
  </si>
  <si>
    <t>Сметные нормы списания</t>
  </si>
  <si>
    <t>Коды ценников</t>
  </si>
  <si>
    <t>ТЕР МО Строительство</t>
  </si>
  <si>
    <t>Тип. расчёт(с 0.94) для норм 2001 года  МДС 81.33-2004 и МДС 81.25-99</t>
  </si>
  <si>
    <t>Московская область</t>
  </si>
  <si>
    <t>Поправки для НБ 2001 нов МДС</t>
  </si>
  <si>
    <t>Новая локальная смета</t>
  </si>
  <si>
    <t>{9A7849BF-5B05-4709-B1CB-778A97F23A7B}</t>
  </si>
  <si>
    <t>1</t>
  </si>
  <si>
    <t>13-06-004-1</t>
  </si>
  <si>
    <t>Обеспыливание поверхности</t>
  </si>
  <si>
    <t>1 м2</t>
  </si>
  <si>
    <t>ТЕР Московской обл.,сб.13,гл.06,табл.004,поз.1</t>
  </si>
  <si>
    <t>)*1,25</t>
  </si>
  <si>
    <t>)*1,15</t>
  </si>
  <si>
    <t>1 м2 обеспыливаемой поверхности</t>
  </si>
  <si>
    <t>Общестроительные работы</t>
  </si>
  <si>
    <t>Защита строительных конструкций и оборудования от коррозии</t>
  </si>
  <si>
    <t>13</t>
  </si>
  <si>
    <t>2</t>
  </si>
  <si>
    <t>11-01-004-5</t>
  </si>
  <si>
    <t>Устройство агедезионного слоя (клей Бетонбет) толщиной 2 мм (прим) без стоимости материалов</t>
  </si>
  <si>
    <t>100 м2</t>
  </si>
  <si>
    <t>ТЕР Московской обл.,сб.11,гл.01,табл.004,поз.5</t>
  </si>
  <si>
    <t>*0</t>
  </si>
  <si>
    <t>100 м2 изолируемой поверхности</t>
  </si>
  <si>
    <t>Полы</t>
  </si>
  <si>
    <t>11</t>
  </si>
  <si>
    <t>2,1</t>
  </si>
  <si>
    <t>101-1938</t>
  </si>
  <si>
    <t>Kомпаунд эпоксидный (клей БЕТонБЕТ)-прим</t>
  </si>
  <si>
    <t>кг</t>
  </si>
  <si>
    <t>ФССЦ, сб.101,поз.1938</t>
  </si>
  <si>
    <t>5</t>
  </si>
  <si>
    <t>11-01-015-1</t>
  </si>
  <si>
    <t>Устройство покрытий полимер-бетонных толщиной 30 мм</t>
  </si>
  <si>
    <t>ТЕР Московской обл.,сб.11,гл.01,табл.015,поз.1</t>
  </si>
  <si>
    <t>100 м2 покрытия</t>
  </si>
  <si>
    <t>5,1</t>
  </si>
  <si>
    <t>401-0066</t>
  </si>
  <si>
    <t>Бетон тяжелый, крупность заполнителя 20 мм, класс В 15 (М200)</t>
  </si>
  <si>
    <t>м3</t>
  </si>
  <si>
    <t>5,2</t>
  </si>
  <si>
    <t>401-0248</t>
  </si>
  <si>
    <t>Бетон песчаный, класс В 22,5 (М300)</t>
  </si>
  <si>
    <t>ФССЦ, сб.401,поз.0248</t>
  </si>
  <si>
    <t>5,3</t>
  </si>
  <si>
    <t>расчет</t>
  </si>
  <si>
    <t>Фибра полипропиленовая "FIBRIN" (450/1,18/5,31*1,13)</t>
  </si>
  <si>
    <t>6</t>
  </si>
  <si>
    <t>11-01-015-7</t>
  </si>
  <si>
    <t>Затирка бетонных покрытий</t>
  </si>
  <si>
    <t>ТЕР Московской обл.,сб.11,гл.01,табл.015,поз.7</t>
  </si>
  <si>
    <t>8</t>
  </si>
  <si>
    <t>53-21-7</t>
  </si>
  <si>
    <t>Герметизации горизонтальных  стыков мастикой герметизирующей нетвердеющей  (прим)</t>
  </si>
  <si>
    <t>100 м</t>
  </si>
  <si>
    <t>ТЕРр Московской обл.,сб.53,поз.21-7</t>
  </si>
  <si>
    <t>100 м восстановленной герметезации стыков</t>
  </si>
  <si>
    <t>Ремонтно-строительные работы</t>
  </si>
  <si>
    <t>Стены</t>
  </si>
  <si>
    <t>53</t>
  </si>
  <si>
    <t>10</t>
  </si>
  <si>
    <t>11-01-023-2</t>
  </si>
  <si>
    <t>Устройство наливного пола на базе эпоксидных смол (без стоимости материалов)</t>
  </si>
  <si>
    <t>ТЕР Московской обл.,сб.11,гл.01,табл.023,поз.2</t>
  </si>
  <si>
    <t>10,1</t>
  </si>
  <si>
    <t>ПУР-ГРУНТ (120/1,18/2,34*1,13)</t>
  </si>
  <si>
    <t>10,2</t>
  </si>
  <si>
    <t>ПУР-ПОЛ ( 150/1,18/2,34*1,13)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</si>
  <si>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</si>
  <si>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</si>
  <si>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</si>
  <si>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</si>
  <si>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</si>
  <si>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</si>
  <si>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</si>
  <si>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</si>
  <si>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</si>
  <si>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</si>
  <si>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</si>
  <si>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</si>
  <si>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</si>
  <si>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</si>
  <si>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</si>
  <si>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</si>
  <si>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</si>
  <si>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</si>
  <si>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</si>
  <si>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</si>
  <si>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</si>
  <si>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</si>
  <si>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 по акту</t>
  </si>
  <si>
    <t>Итог1</t>
  </si>
  <si>
    <t>Среднегодовое зимние удорожание 1,8%</t>
  </si>
  <si>
    <t>Итог2</t>
  </si>
  <si>
    <t>Итого</t>
  </si>
  <si>
    <t>Итог3</t>
  </si>
  <si>
    <t>Конкурсное сниженеие 3%</t>
  </si>
  <si>
    <t>Итог4</t>
  </si>
  <si>
    <t>Итого с конкурсным снижением</t>
  </si>
  <si>
    <t>Итог5</t>
  </si>
  <si>
    <t>Разница стоимости материалов</t>
  </si>
  <si>
    <t>Итог6</t>
  </si>
  <si>
    <t>Итого  с учетом разницы материалов</t>
  </si>
  <si>
    <t>Итог7</t>
  </si>
  <si>
    <t>НДС 18%</t>
  </si>
  <si>
    <t>Итог8</t>
  </si>
  <si>
    <t>Всего по акту</t>
  </si>
  <si>
    <t>1-3.0-50</t>
  </si>
  <si>
    <t>Затраты труда рабочих, разряд работ 3.0</t>
  </si>
  <si>
    <t>чел.-ч</t>
  </si>
  <si>
    <t>331305</t>
  </si>
  <si>
    <t>483380</t>
  </si>
  <si>
    <t>Пылесосы промышленные</t>
  </si>
  <si>
    <t>маш.-ч</t>
  </si>
  <si>
    <t>1-4.9-50</t>
  </si>
  <si>
    <t>Затраты труда рабочих, разряд работ 4.9</t>
  </si>
  <si>
    <t>Затраты труда машинистов</t>
  </si>
  <si>
    <t>чел.час</t>
  </si>
  <si>
    <t>031121</t>
  </si>
  <si>
    <t>483583</t>
  </si>
  <si>
    <t>Подъемники мачтовые строительные 0.5 т</t>
  </si>
  <si>
    <t>121011</t>
  </si>
  <si>
    <t>482000</t>
  </si>
  <si>
    <t>Котлы битумные передвижные 400 л</t>
  </si>
  <si>
    <t>361101</t>
  </si>
  <si>
    <t>483324</t>
  </si>
  <si>
    <t>Термос 100 л</t>
  </si>
  <si>
    <t>400001</t>
  </si>
  <si>
    <t>451114</t>
  </si>
  <si>
    <t>Автомобили бортовые грузоподъемностью до 5 т</t>
  </si>
  <si>
    <t>101-0009</t>
  </si>
  <si>
    <t>Асбест хризотиловый марки К-6-30</t>
  </si>
  <si>
    <t>т</t>
  </si>
  <si>
    <t>101-0073</t>
  </si>
  <si>
    <t>Битумы нефтяные строительные марки БН-90/10</t>
  </si>
  <si>
    <t>101-0074</t>
  </si>
  <si>
    <t>Битумы нефтяные строительные марки БН-70/30</t>
  </si>
  <si>
    <t>101-1745</t>
  </si>
  <si>
    <t>Бензин растворитель</t>
  </si>
  <si>
    <t>101-1757</t>
  </si>
  <si>
    <t>Ветошь</t>
  </si>
  <si>
    <t>113-0101</t>
  </si>
  <si>
    <t>Мука андезитовая кислотоупорная, марка А</t>
  </si>
  <si>
    <t>1-2.2-50</t>
  </si>
  <si>
    <t>Затраты труда рабочих, разряд работ 2.2</t>
  </si>
  <si>
    <t>030101</t>
  </si>
  <si>
    <t>452712</t>
  </si>
  <si>
    <t>Автопогрузчики 5 т</t>
  </si>
  <si>
    <t>050102</t>
  </si>
  <si>
    <t>364321</t>
  </si>
  <si>
    <t>Компрессоры передвижные с двигателем внутреннего сгорания давлением до 686 кПа (7 атм) 5 м3/мин</t>
  </si>
  <si>
    <t>111301</t>
  </si>
  <si>
    <t>483382</t>
  </si>
  <si>
    <t>Вибраторы поверхностные</t>
  </si>
  <si>
    <t>408-0122</t>
  </si>
  <si>
    <t>Песок природный для строительных работ средний</t>
  </si>
  <si>
    <t>411-0001</t>
  </si>
  <si>
    <t>Вода</t>
  </si>
  <si>
    <t>544-0099</t>
  </si>
  <si>
    <t>ФССЦ, сб.544,поз.0099</t>
  </si>
  <si>
    <t>Фибра листовая, толщина 2,5-3 мм</t>
  </si>
  <si>
    <t>1-3.5-50</t>
  </si>
  <si>
    <t>Затраты труда рабочих, разряд работ 3.5</t>
  </si>
  <si>
    <t>340312</t>
  </si>
  <si>
    <t>483311</t>
  </si>
  <si>
    <t>Машины мозаично-шлифовальные</t>
  </si>
  <si>
    <t>101-2109</t>
  </si>
  <si>
    <t>Карборунд</t>
  </si>
  <si>
    <t>1-4.1-50</t>
  </si>
  <si>
    <t>Затраты труда рабочих, разряд работ 4.1</t>
  </si>
  <si>
    <t>031051</t>
  </si>
  <si>
    <t>485343</t>
  </si>
  <si>
    <t>Вышки телескопические на автомобиле, высота до 30-35 м, грузоподъемность 350 кг</t>
  </si>
  <si>
    <t>050101</t>
  </si>
  <si>
    <t>Компрессоры передвижные с двигателем внутреннего сгорания давлением до 686 кПа (7 атм) 2,2 м3/мин</t>
  </si>
  <si>
    <t>331551</t>
  </si>
  <si>
    <t>483332</t>
  </si>
  <si>
    <t>Шприцы пневматические для заделки швов</t>
  </si>
  <si>
    <t>101-0605</t>
  </si>
  <si>
    <t>Мастика герметизирующая нетвердеющая "Гэлан"</t>
  </si>
  <si>
    <t>101-0618</t>
  </si>
  <si>
    <t>Мастика тиоколовая строительного назначения АМ-0,5</t>
  </si>
  <si>
    <t>1-5.3-50</t>
  </si>
  <si>
    <t>Затраты труда рабочих, разряд работ 5.3</t>
  </si>
  <si>
    <t>110901</t>
  </si>
  <si>
    <t>482662</t>
  </si>
  <si>
    <t>Растворосмесители передвижные 65 л</t>
  </si>
  <si>
    <t>101-0333</t>
  </si>
  <si>
    <t>Краситель кислотный желтый</t>
  </si>
  <si>
    <t>113-0036</t>
  </si>
  <si>
    <t>Грунтовка двуокись титана пигментная, марка А-01</t>
  </si>
  <si>
    <t>113-0152</t>
  </si>
  <si>
    <t>Полиэтиленполиамин (ПЭПА) технический, марка А</t>
  </si>
  <si>
    <t>113-0163</t>
  </si>
  <si>
    <t>Смола эпоксидная марки ЭД-20</t>
  </si>
  <si>
    <t>113-0167</t>
  </si>
  <si>
    <t>Смола полиамидная Л-18</t>
  </si>
  <si>
    <t>Поправка:  00_МДС_35_4.7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</si>
  <si>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 00_МДС_35_4.7
Наименование:
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</si>
  <si>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базовая цена</t>
  </si>
  <si>
    <t>текущая цена</t>
  </si>
  <si>
    <t>Сметная стоимость</t>
  </si>
  <si>
    <t>тыс.руб</t>
  </si>
  <si>
    <t>Нормативная трудоемкость</t>
  </si>
  <si>
    <t>Средства на оплату труда</t>
  </si>
  <si>
    <t>Составлен(а) в ценах Февраль 2008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</si>
  <si>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</si>
  <si>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</si>
  <si>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</si>
  <si>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</si>
  <si>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</si>
  <si>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</si>
  <si>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</si>
  <si>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</si>
  <si>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</si>
  <si>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</si>
  <si>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</si>
  <si>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</si>
  <si>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</si>
  <si>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</si>
  <si>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</si>
  <si>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</si>
  <si>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</si>
  <si>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</si>
  <si>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</si>
  <si>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</si>
  <si>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</si>
  <si>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</si>
  <si>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</si>
  <si>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</si>
  <si>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</si>
  <si>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</si>
  <si>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</si>
  <si>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</si>
  <si>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</si>
  <si>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</si>
  <si>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</si>
  <si>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</si>
  <si>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</si>
  <si>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</si>
  <si>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</si>
  <si>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>Зарплата</t>
  </si>
  <si>
    <t>Накладные расходы от ФОТ</t>
  </si>
  <si>
    <t>%</t>
  </si>
  <si>
    <t>Плановые накопления от ФОТ</t>
  </si>
  <si>
    <t>Затраты труда</t>
  </si>
  <si>
    <t>чел-ч</t>
  </si>
  <si>
    <t>в т.ч. зарплата машинистов</t>
  </si>
  <si>
    <t>Материальные ресурсы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</si>
  <si>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</si>
  <si>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</si>
  <si>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</si>
  <si>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</si>
  <si>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</si>
  <si>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 xml:space="preserve">ЛОКАЛЬНАЯ СМЕТА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</si>
</sst>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3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wrapText="1" shrinkToFi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justify" vertical="top" wrapText="1" shrinkToFit="1"/>
    </xf>
    <xf numFmtId="0" fontId="13" fillId="0" borderId="14" xfId="0" applyFont="1" applyBorder="1" applyAlignment="1">
      <alignment horizontal="right" wrapText="1" shrinkToFit="1"/>
    </xf>
    <xf numFmtId="0" fontId="9" fillId="0" borderId="14" xfId="0" applyFont="1" applyBorder="1" applyAlignment="1">
      <alignment shrinkToFit="1"/>
    </xf>
    <xf numFmtId="0" fontId="9" fillId="0" borderId="14" xfId="0" applyFont="1" applyBorder="1" applyAlignment="1">
      <alignment wrapText="1" shrinkToFit="1"/>
    </xf>
    <xf numFmtId="2" fontId="9" fillId="0" borderId="14" xfId="0" applyNumberFormat="1" applyFont="1" applyBorder="1" applyAlignment="1">
      <alignment shrinkToFi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4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="60" zoomScaleNormal="86" zoomScalePageLayoutView="0" workbookViewId="0" topLeftCell="A1">
      <selection activeCell="G19" sqref="G19"/>
    </sheetView>
  </sheetViews>
  <sheetFormatPr defaultColWidth="9.140625" defaultRowHeight="12.75"/>
  <cols>
    <col min="1" max="1" width="5.28125" style="0" customWidth="1"/>
    <col min="2" max="2" width="16.8515625" style="0" customWidth="1"/>
    <col min="3" max="3" width="40.7109375" style="0" customWidth="1"/>
    <col min="4" max="6" width="9.28125" style="0" bestFit="1" customWidth="1"/>
    <col min="7" max="7" width="11.28125" style="0" customWidth="1"/>
    <col min="8" max="8" width="13.7109375" style="0" bestFit="1" customWidth="1"/>
    <col min="9" max="9" width="16.421875" style="0" customWidth="1"/>
    <col min="10" max="10" width="10.140625" style="0" customWidth="1"/>
    <col min="11" max="11" width="13.7109375" style="0" bestFit="1" customWidth="1"/>
    <col min="12" max="12" width="9.28125" style="0" bestFit="1" customWidth="1"/>
    <col min="13" max="23" width="0" style="0" hidden="1" customWidth="1"/>
  </cols>
  <sheetData>
    <row r="1" s="6" customFormat="1" ht="11.25">
      <c r="A1" s="6" t="str">
        <f>Source!B1</f>
        <v>Smeta.ru  (095) 974-1589</v>
      </c>
    </row>
    <row r="3" spans="1:12" ht="27.75" customHeight="1">
      <c r="A3" s="42" t="s">
        <v>264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2:12" ht="14.25">
      <c r="B5" s="44" t="str">
        <f>Source!G20</f>
        <v>Устройство полимерных полов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7" spans="5:10" ht="12.75">
      <c r="E7" s="8"/>
      <c r="F7" s="8"/>
      <c r="G7" s="49" t="s">
        <v>209</v>
      </c>
      <c r="H7" s="49"/>
      <c r="I7" s="49" t="s">
        <v>210</v>
      </c>
      <c r="J7" s="49"/>
    </row>
    <row r="8" spans="3:12" ht="15.75">
      <c r="C8" s="46" t="s">
        <v>211</v>
      </c>
      <c r="D8" s="46"/>
      <c r="E8" s="46"/>
      <c r="F8" s="46"/>
      <c r="G8" s="47">
        <f>G79/1000</f>
        <v>496.63442870383255</v>
      </c>
      <c r="H8" s="47"/>
      <c r="I8" s="47">
        <f>J90/1000</f>
        <v>2732.3350499999997</v>
      </c>
      <c r="J8" s="47"/>
      <c r="K8" s="48" t="s">
        <v>212</v>
      </c>
      <c r="L8" s="48"/>
    </row>
    <row r="9" spans="3:12" ht="15.75">
      <c r="C9" s="46" t="s">
        <v>213</v>
      </c>
      <c r="D9" s="46"/>
      <c r="E9" s="46"/>
      <c r="F9" s="46"/>
      <c r="G9" s="47">
        <f>(Source!F45)</f>
        <v>2823.29</v>
      </c>
      <c r="H9" s="47"/>
      <c r="I9" s="47">
        <f>(Source!F45)</f>
        <v>2823.29</v>
      </c>
      <c r="J9" s="47"/>
      <c r="K9" s="48" t="s">
        <v>119</v>
      </c>
      <c r="L9" s="48"/>
    </row>
    <row r="10" spans="3:12" ht="15.75">
      <c r="C10" s="46" t="s">
        <v>214</v>
      </c>
      <c r="D10" s="46"/>
      <c r="E10" s="46"/>
      <c r="F10" s="46"/>
      <c r="G10" s="47">
        <f>(N79+W79)/1000</f>
        <v>35.653661275831084</v>
      </c>
      <c r="H10" s="47"/>
      <c r="I10" s="47">
        <f>((Source!F43+Source!F42)/1000)</f>
        <v>396.82525</v>
      </c>
      <c r="J10" s="47"/>
      <c r="K10" s="48" t="s">
        <v>212</v>
      </c>
      <c r="L10" s="48"/>
    </row>
    <row r="12" spans="1:6" ht="12.75">
      <c r="A12" s="50" t="s">
        <v>215</v>
      </c>
      <c r="B12" s="50"/>
      <c r="C12" s="50"/>
      <c r="D12" s="5"/>
      <c r="E12" s="5"/>
      <c r="F12" s="5"/>
    </row>
    <row r="13" spans="1:12" ht="15">
      <c r="A13" s="12"/>
      <c r="B13" s="12"/>
      <c r="C13" s="12"/>
      <c r="D13" s="12"/>
      <c r="E13" s="12"/>
      <c r="F13" s="13" t="s">
        <v>228</v>
      </c>
      <c r="G13" s="13" t="s">
        <v>232</v>
      </c>
      <c r="H13" s="13" t="s">
        <v>236</v>
      </c>
      <c r="I13" s="13" t="s">
        <v>240</v>
      </c>
      <c r="J13" s="13" t="s">
        <v>244</v>
      </c>
      <c r="K13" s="13" t="s">
        <v>236</v>
      </c>
      <c r="L13" s="13" t="s">
        <v>248</v>
      </c>
    </row>
    <row r="14" spans="1:12" ht="15">
      <c r="A14" s="14" t="s">
        <v>216</v>
      </c>
      <c r="B14" s="14" t="s">
        <v>218</v>
      </c>
      <c r="C14" s="15"/>
      <c r="D14" s="14" t="s">
        <v>223</v>
      </c>
      <c r="E14" s="14" t="s">
        <v>226</v>
      </c>
      <c r="F14" s="14" t="s">
        <v>229</v>
      </c>
      <c r="G14" s="14" t="s">
        <v>233</v>
      </c>
      <c r="H14" s="14" t="s">
        <v>237</v>
      </c>
      <c r="I14" s="14" t="s">
        <v>241</v>
      </c>
      <c r="J14" s="14" t="s">
        <v>235</v>
      </c>
      <c r="K14" s="14" t="s">
        <v>245</v>
      </c>
      <c r="L14" s="14" t="s">
        <v>249</v>
      </c>
    </row>
    <row r="15" spans="1:12" ht="15">
      <c r="A15" s="14" t="s">
        <v>217</v>
      </c>
      <c r="B15" s="14" t="s">
        <v>219</v>
      </c>
      <c r="C15" s="14" t="s">
        <v>222</v>
      </c>
      <c r="D15" s="14" t="s">
        <v>224</v>
      </c>
      <c r="E15" s="14" t="s">
        <v>227</v>
      </c>
      <c r="F15" s="14" t="s">
        <v>230</v>
      </c>
      <c r="G15" s="14" t="s">
        <v>234</v>
      </c>
      <c r="H15" s="14" t="s">
        <v>238</v>
      </c>
      <c r="I15" s="14" t="s">
        <v>242</v>
      </c>
      <c r="J15" s="14" t="s">
        <v>242</v>
      </c>
      <c r="K15" s="14" t="s">
        <v>246</v>
      </c>
      <c r="L15" s="14" t="s">
        <v>250</v>
      </c>
    </row>
    <row r="16" spans="1:12" ht="15">
      <c r="A16" s="15"/>
      <c r="B16" s="14" t="s">
        <v>220</v>
      </c>
      <c r="C16" s="15"/>
      <c r="D16" s="14" t="s">
        <v>225</v>
      </c>
      <c r="E16" s="15"/>
      <c r="F16" s="14" t="s">
        <v>231</v>
      </c>
      <c r="G16" s="14" t="s">
        <v>235</v>
      </c>
      <c r="H16" s="14" t="s">
        <v>239</v>
      </c>
      <c r="I16" s="14" t="s">
        <v>243</v>
      </c>
      <c r="J16" s="14" t="s">
        <v>243</v>
      </c>
      <c r="K16" s="14" t="s">
        <v>247</v>
      </c>
      <c r="L16" s="14"/>
    </row>
    <row r="17" spans="1:12" ht="15">
      <c r="A17" s="16"/>
      <c r="B17" s="17" t="s">
        <v>221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</row>
    <row r="18" spans="1:12" ht="1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</row>
    <row r="19" spans="1:12" ht="15">
      <c r="A19" s="19" t="str">
        <f>Source!E24</f>
        <v>1</v>
      </c>
      <c r="B19" s="19" t="str">
        <f>Source!F24</f>
        <v>13-06-004-1</v>
      </c>
      <c r="C19" s="20" t="str">
        <f>Source!G24</f>
        <v>Обеспыливание поверхности</v>
      </c>
      <c r="D19" s="21" t="str">
        <f>Source!H24</f>
        <v>1 м2</v>
      </c>
      <c r="E19" s="9">
        <f>ROUND(Source!I24,6)</f>
        <v>1066</v>
      </c>
      <c r="F19" s="9">
        <f>IF(Source!AK24&lt;&gt;0,Source!AK24,Source!AL24+Source!AM24+Source!AO24)</f>
        <v>1.12</v>
      </c>
      <c r="G19" s="9"/>
      <c r="H19" s="9"/>
      <c r="I19" s="9"/>
      <c r="J19" s="9"/>
      <c r="K19" s="9"/>
      <c r="L19" s="9"/>
    </row>
    <row r="20" spans="1:12" ht="15">
      <c r="A20" s="7"/>
      <c r="B20" s="7"/>
      <c r="C20" s="7" t="s">
        <v>251</v>
      </c>
      <c r="D20" s="7"/>
      <c r="E20" s="7"/>
      <c r="F20" s="7">
        <f>Source!AO24</f>
        <v>0.85</v>
      </c>
      <c r="G20" s="22" t="str">
        <f>Source!DG24</f>
        <v>)*1,15</v>
      </c>
      <c r="H20" s="23">
        <f>IF(Source!BA24&lt;&gt;0,Source!S24/Source!BA24,Source!S24)</f>
        <v>1042.0152740341418</v>
      </c>
      <c r="I20" s="7" t="str">
        <f>IF(Source!BO24&lt;&gt;"",Source!BO24,"")</f>
        <v>13-06-004-1</v>
      </c>
      <c r="J20" s="7">
        <f>Source!BA24</f>
        <v>11.13</v>
      </c>
      <c r="K20" s="23">
        <f>Source!S24</f>
        <v>11597.63</v>
      </c>
      <c r="L20" s="7"/>
    </row>
    <row r="21" spans="1:12" ht="15">
      <c r="A21" s="7"/>
      <c r="B21" s="7"/>
      <c r="C21" s="7" t="s">
        <v>83</v>
      </c>
      <c r="D21" s="7"/>
      <c r="E21" s="7"/>
      <c r="F21" s="7">
        <f>Source!AM24</f>
        <v>0.27</v>
      </c>
      <c r="G21" s="22" t="str">
        <f>Source!DE24</f>
        <v>)*1,25</v>
      </c>
      <c r="H21" s="23">
        <f>IF(Source!BB24&lt;&gt;0,Source!Q24/Source!BB24,Source!Q24)</f>
        <v>359.77505567928733</v>
      </c>
      <c r="I21" s="7"/>
      <c r="J21" s="7">
        <f>Source!BB24</f>
        <v>4.49</v>
      </c>
      <c r="K21" s="23">
        <f>Source!Q24</f>
        <v>1615.39</v>
      </c>
      <c r="L21" s="7"/>
    </row>
    <row r="22" spans="1:12" ht="15">
      <c r="A22" s="7"/>
      <c r="B22" s="7"/>
      <c r="C22" s="7" t="s">
        <v>252</v>
      </c>
      <c r="D22" s="11" t="s">
        <v>253</v>
      </c>
      <c r="E22" s="7"/>
      <c r="F22" s="7">
        <f>Source!AT24</f>
        <v>84.6</v>
      </c>
      <c r="G22" s="7"/>
      <c r="H22" s="23">
        <f>(F22/100)*((Source!S24/IF(Source!BA24&lt;&gt;0,Source!BA24,1))+(Source!R24/IF(Source!BS24&lt;&gt;0,Source!BS24,1)))</f>
        <v>881.5449218328839</v>
      </c>
      <c r="I22" s="7"/>
      <c r="J22" s="7">
        <f>Source!AT24</f>
        <v>84.6</v>
      </c>
      <c r="K22" s="23">
        <f>Source!X24</f>
        <v>9811.59</v>
      </c>
      <c r="L22" s="7"/>
    </row>
    <row r="23" spans="1:12" ht="15">
      <c r="A23" s="7"/>
      <c r="B23" s="7"/>
      <c r="C23" s="7" t="s">
        <v>254</v>
      </c>
      <c r="D23" s="11" t="s">
        <v>253</v>
      </c>
      <c r="E23" s="7"/>
      <c r="F23" s="7">
        <f>Source!AU24</f>
        <v>70</v>
      </c>
      <c r="G23" s="7"/>
      <c r="H23" s="23">
        <f>(F23/100)*((Source!S24/IF(Source!BA24&lt;&gt;0,Source!BA24,1))+(Source!R24/IF(Source!BS24&lt;&gt;0,Source!BS24,1)))</f>
        <v>729.4106918238992</v>
      </c>
      <c r="I23" s="7"/>
      <c r="J23" s="7">
        <f>Source!AU24</f>
        <v>70</v>
      </c>
      <c r="K23" s="23">
        <f>Source!Y24</f>
        <v>8118.34</v>
      </c>
      <c r="L23" s="7"/>
    </row>
    <row r="24" spans="1:12" ht="15">
      <c r="A24" s="25"/>
      <c r="B24" s="25"/>
      <c r="C24" s="25" t="s">
        <v>255</v>
      </c>
      <c r="D24" s="26" t="s">
        <v>256</v>
      </c>
      <c r="E24" s="25">
        <f>Source!AQ24</f>
        <v>0.1</v>
      </c>
      <c r="F24" s="25"/>
      <c r="G24" s="27">
        <f>Source!DI24</f>
      </c>
      <c r="H24" s="25"/>
      <c r="I24" s="25"/>
      <c r="J24" s="25"/>
      <c r="K24" s="25"/>
      <c r="L24" s="25">
        <f>Source!U24</f>
        <v>106.6</v>
      </c>
    </row>
    <row r="25" spans="1:23" ht="15.75">
      <c r="A25" s="7"/>
      <c r="B25" s="7"/>
      <c r="C25" s="7"/>
      <c r="D25" s="7"/>
      <c r="E25" s="7"/>
      <c r="F25" s="7"/>
      <c r="G25" s="7"/>
      <c r="H25" s="28">
        <f>IF(Source!BA24&lt;&gt;0,Source!S24/Source!BA24,Source!S24)+IF(Source!BB24&lt;&gt;0,Source!Q24/Source!BB24,Source!Q24)+H22+H23</f>
        <v>3012.7459433702124</v>
      </c>
      <c r="I25" s="29"/>
      <c r="J25" s="29"/>
      <c r="K25" s="28">
        <f>Source!S24+Source!Q24+K22+K23</f>
        <v>31142.95</v>
      </c>
      <c r="L25" s="29">
        <f>Source!U24</f>
        <v>106.6</v>
      </c>
      <c r="M25" s="24">
        <f>H25</f>
        <v>3012.7459433702124</v>
      </c>
      <c r="N25">
        <f>IF(Source!BA24&lt;&gt;0,Source!S24/Source!BA24,Source!S24)</f>
        <v>1042.0152740341418</v>
      </c>
      <c r="O25">
        <f>IF(Source!BI24=1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3012.7459433702124</v>
      </c>
      <c r="P25">
        <f>IF(Source!BI24=2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Q25">
        <f>IF(Source!BI24=3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R25">
        <f>IF(Source!BI24=4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S25">
        <f>IF(Source!BI24=1,Source!O24+Source!X24+Source!Y24,0)</f>
        <v>31142.95</v>
      </c>
      <c r="T25">
        <f>IF(Source!BI24=2,Source!O24+Source!X24+Source!Y24,0)</f>
        <v>0</v>
      </c>
      <c r="U25">
        <f>IF(Source!BI24=3,Source!O24+Source!X24+Source!Y24,0)</f>
        <v>0</v>
      </c>
      <c r="V25">
        <f>IF(Source!BI24=4,Source!O24+Source!X24+Source!Y24,0)</f>
        <v>0</v>
      </c>
      <c r="W25">
        <f>IF(Source!BS24&lt;&gt;0,Source!R24/Source!BS24,Source!R24)</f>
        <v>0</v>
      </c>
    </row>
    <row r="26" spans="1:12" ht="45">
      <c r="A26" s="19" t="str">
        <f>Source!E25</f>
        <v>2</v>
      </c>
      <c r="B26" s="19" t="str">
        <f>Source!F25</f>
        <v>11-01-004-5</v>
      </c>
      <c r="C26" s="20" t="str">
        <f>Source!G25</f>
        <v>Устройство агедезионного слоя (клей Бетонбет) толщиной 2 мм (прим) без стоимости материалов</v>
      </c>
      <c r="D26" s="21" t="str">
        <f>Source!H25</f>
        <v>100 м2</v>
      </c>
      <c r="E26" s="9">
        <f>ROUND(Source!I25,6)</f>
        <v>10.66</v>
      </c>
      <c r="F26" s="9">
        <f>IF(Source!AK25&lt;&gt;0,Source!AK25,Source!AL25+Source!AM25+Source!AO25)</f>
        <v>1145.27</v>
      </c>
      <c r="G26" s="9"/>
      <c r="H26" s="9"/>
      <c r="I26" s="9"/>
      <c r="J26" s="9"/>
      <c r="K26" s="9"/>
      <c r="L26" s="9"/>
    </row>
    <row r="27" spans="1:12" ht="15">
      <c r="A27" s="7"/>
      <c r="B27" s="7"/>
      <c r="C27" s="7" t="s">
        <v>251</v>
      </c>
      <c r="D27" s="7"/>
      <c r="E27" s="7"/>
      <c r="F27" s="7">
        <f>Source!AO25</f>
        <v>295.05</v>
      </c>
      <c r="G27" s="22" t="str">
        <f>Source!DG25</f>
        <v>)*1,15</v>
      </c>
      <c r="H27" s="23">
        <f>IF(Source!BA25&lt;&gt;0,Source!S25/Source!BA25,Source!S25)</f>
        <v>3617.0179694519315</v>
      </c>
      <c r="I27" s="7" t="str">
        <f>IF(Source!BO25&lt;&gt;"",Source!BO25,"")</f>
        <v>11-01-004-5</v>
      </c>
      <c r="J27" s="7">
        <f>Source!BA25</f>
        <v>11.13</v>
      </c>
      <c r="K27" s="23">
        <f>Source!S25</f>
        <v>40257.41</v>
      </c>
      <c r="L27" s="7"/>
    </row>
    <row r="28" spans="1:12" ht="15">
      <c r="A28" s="7"/>
      <c r="B28" s="7"/>
      <c r="C28" s="7" t="s">
        <v>83</v>
      </c>
      <c r="D28" s="7"/>
      <c r="E28" s="7"/>
      <c r="F28" s="7">
        <f>Source!AM25</f>
        <v>157.6</v>
      </c>
      <c r="G28" s="22" t="str">
        <f>Source!DE25</f>
        <v>)*1,25</v>
      </c>
      <c r="H28" s="23">
        <f>IF(Source!BB25&lt;&gt;0,Source!Q25/Source!BB25,Source!Q25)</f>
        <v>2100.020179372197</v>
      </c>
      <c r="I28" s="7"/>
      <c r="J28" s="7">
        <f>Source!BB25</f>
        <v>4.46</v>
      </c>
      <c r="K28" s="23">
        <f>Source!Q25</f>
        <v>9366.09</v>
      </c>
      <c r="L28" s="7"/>
    </row>
    <row r="29" spans="1:12" ht="15">
      <c r="A29" s="7"/>
      <c r="B29" s="7"/>
      <c r="C29" s="7" t="s">
        <v>257</v>
      </c>
      <c r="D29" s="7"/>
      <c r="E29" s="7"/>
      <c r="F29" s="7">
        <f>Source!AN25</f>
        <v>2.43</v>
      </c>
      <c r="G29" s="22" t="str">
        <f>Source!DF25</f>
        <v>)*1,25</v>
      </c>
      <c r="H29" s="30">
        <f>IF(Source!BS25&lt;&gt;0,Source!R25/Source!BS25,Source!R25)</f>
        <v>32.38005390835579</v>
      </c>
      <c r="I29" s="7"/>
      <c r="J29" s="7">
        <f>Source!BS25</f>
        <v>11.13</v>
      </c>
      <c r="K29" s="11">
        <f>Source!R25</f>
        <v>360.39</v>
      </c>
      <c r="L29" s="7"/>
    </row>
    <row r="30" spans="1:12" ht="15">
      <c r="A30" s="7"/>
      <c r="B30" s="7"/>
      <c r="C30" s="7" t="s">
        <v>252</v>
      </c>
      <c r="D30" s="11" t="s">
        <v>253</v>
      </c>
      <c r="E30" s="7"/>
      <c r="F30" s="7">
        <f>Source!AT25</f>
        <v>115.62</v>
      </c>
      <c r="G30" s="7"/>
      <c r="H30" s="23">
        <f>(F30/100)*((Source!S25/IF(Source!BA25&lt;&gt;0,Source!BA25,1))+(Source!R25/IF(Source!BS25&lt;&gt;0,Source!BS25,1)))</f>
        <v>4219.433994609165</v>
      </c>
      <c r="I30" s="7"/>
      <c r="J30" s="7">
        <f>Source!AT25</f>
        <v>115.62</v>
      </c>
      <c r="K30" s="23">
        <f>Source!X25</f>
        <v>46962.3</v>
      </c>
      <c r="L30" s="7"/>
    </row>
    <row r="31" spans="1:12" ht="15">
      <c r="A31" s="7"/>
      <c r="B31" s="7"/>
      <c r="C31" s="7" t="s">
        <v>254</v>
      </c>
      <c r="D31" s="11" t="s">
        <v>253</v>
      </c>
      <c r="E31" s="7"/>
      <c r="F31" s="7">
        <f>Source!AU25</f>
        <v>75</v>
      </c>
      <c r="G31" s="7"/>
      <c r="H31" s="23">
        <f>(F31/100)*((Source!S25/IF(Source!BA25&lt;&gt;0,Source!BA25,1))+(Source!R25/IF(Source!BS25&lt;&gt;0,Source!BS25,1)))</f>
        <v>2737.0485175202157</v>
      </c>
      <c r="I31" s="7"/>
      <c r="J31" s="7">
        <f>Source!AU25</f>
        <v>75</v>
      </c>
      <c r="K31" s="23">
        <f>Source!Y25</f>
        <v>30463.35</v>
      </c>
      <c r="L31" s="7"/>
    </row>
    <row r="32" spans="1:12" ht="15">
      <c r="A32" s="7"/>
      <c r="B32" s="7"/>
      <c r="C32" s="7" t="s">
        <v>255</v>
      </c>
      <c r="D32" s="11" t="s">
        <v>256</v>
      </c>
      <c r="E32" s="7">
        <f>Source!AQ25</f>
        <v>26.97</v>
      </c>
      <c r="F32" s="7"/>
      <c r="G32" s="22">
        <f>Source!DI25</f>
      </c>
      <c r="H32" s="7"/>
      <c r="I32" s="7"/>
      <c r="J32" s="7"/>
      <c r="K32" s="7"/>
      <c r="L32" s="7">
        <f>Source!U25</f>
        <v>287.5</v>
      </c>
    </row>
    <row r="33" spans="1:23" ht="30">
      <c r="A33" s="32"/>
      <c r="B33" s="32" t="str">
        <f>Source!F26</f>
        <v>101-1938</v>
      </c>
      <c r="C33" s="33" t="str">
        <f>Source!G26</f>
        <v>Kомпаунд эпоксидный (клей БЕТонБЕТ)-прим</v>
      </c>
      <c r="D33" s="34" t="str">
        <f>Source!H26</f>
        <v>кг</v>
      </c>
      <c r="E33" s="35">
        <f>ROUND(Source!I26,6)</f>
        <v>1279.2</v>
      </c>
      <c r="F33" s="35">
        <f>IF(Source!AL26=0,Source!AK26,Source!AL26)</f>
        <v>77.74</v>
      </c>
      <c r="G33" s="36">
        <f>Source!DD26</f>
      </c>
      <c r="H33" s="37">
        <f>IF(Source!BC26&lt;&gt;0,Source!O26/Source!BC26,Source!O26)</f>
        <v>99445.00722891567</v>
      </c>
      <c r="I33" s="35"/>
      <c r="J33" s="35">
        <f>Source!BC26</f>
        <v>4.15</v>
      </c>
      <c r="K33" s="37">
        <f>Source!O26</f>
        <v>412696.78</v>
      </c>
      <c r="L33" s="35"/>
      <c r="N33">
        <f>IF(Source!BA26&lt;&gt;0,Source!S26/Source!BA26,Source!S26)</f>
        <v>0</v>
      </c>
      <c r="O33">
        <f>IF(Source!BI26=1,(IF(Source!BC26&lt;&gt;0,Source!O26/Source!BC26,Source!O26)),0)</f>
        <v>99445.00722891567</v>
      </c>
      <c r="P33">
        <f>IF(Source!BI26=2,(IF(Source!BC26&lt;&gt;0,Source!O26/Source!BC26,Source!O26)),0)</f>
        <v>0</v>
      </c>
      <c r="Q33">
        <f>IF(Source!BI26=3,(IF(Source!BC26&lt;&gt;0,Source!O26/Source!BC26,Source!O26)),0)</f>
        <v>0</v>
      </c>
      <c r="R33">
        <f>IF(Source!BI26=4,(IF(Source!BC26&lt;&gt;0,Source!O26/Source!BC26,Source!O26)),0)</f>
        <v>0</v>
      </c>
      <c r="S33">
        <f>IF(Source!BI26=1,Source!O26+Source!X26+Source!Y26,0)</f>
        <v>412696.78</v>
      </c>
      <c r="T33">
        <f>IF(Source!BI26=2,Source!O26+Source!X26+Source!Y26,0)</f>
        <v>0</v>
      </c>
      <c r="U33">
        <f>IF(Source!BI26=3,Source!O26+Source!X26+Source!Y26,0)</f>
        <v>0</v>
      </c>
      <c r="V33">
        <f>IF(Source!BI26=4,Source!O26+Source!X26+Source!Y26,0)</f>
        <v>0</v>
      </c>
      <c r="W33">
        <f>IF(Source!BS26&lt;&gt;0,Source!R26/Source!BS26,Source!R26)</f>
        <v>0</v>
      </c>
    </row>
    <row r="34" spans="1:23" ht="15.75">
      <c r="A34" s="7"/>
      <c r="B34" s="7"/>
      <c r="C34" s="7"/>
      <c r="D34" s="7"/>
      <c r="E34" s="7"/>
      <c r="F34" s="7"/>
      <c r="G34" s="7"/>
      <c r="H34" s="28">
        <f>IF(Source!BA25&lt;&gt;0,Source!S25/Source!BA25,Source!S25)+IF(Source!BB25&lt;&gt;0,Source!Q25/Source!BB25,Source!Q25)+H30+H31+H33</f>
        <v>112118.52788986918</v>
      </c>
      <c r="I34" s="29"/>
      <c r="J34" s="29"/>
      <c r="K34" s="28">
        <f>Source!S25+Source!Q25+K30+K31+K33</f>
        <v>539745.93</v>
      </c>
      <c r="L34" s="29">
        <f>Source!U25</f>
        <v>287.5</v>
      </c>
      <c r="M34" s="24">
        <f>H34</f>
        <v>112118.52788986918</v>
      </c>
      <c r="N34">
        <f>IF(Source!BA25&lt;&gt;0,Source!S25/Source!BA25,Source!S25)</f>
        <v>3617.0179694519315</v>
      </c>
      <c r="O34">
        <f>IF(Source!BI25=1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12673.520660953509</v>
      </c>
      <c r="P34">
        <f>IF(Source!BI25=2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Q34">
        <f>IF(Source!BI25=3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R34">
        <f>IF(Source!BI25=4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S34">
        <f>IF(Source!BI25=1,Source!O25+Source!X25+Source!Y25,0)</f>
        <v>127049.15</v>
      </c>
      <c r="T34">
        <f>IF(Source!BI25=2,Source!O25+Source!X25+Source!Y25,0)</f>
        <v>0</v>
      </c>
      <c r="U34">
        <f>IF(Source!BI25=3,Source!O25+Source!X25+Source!Y25,0)</f>
        <v>0</v>
      </c>
      <c r="V34">
        <f>IF(Source!BI25=4,Source!O25+Source!X25+Source!Y25,0)</f>
        <v>0</v>
      </c>
      <c r="W34">
        <f>IF(Source!BS25&lt;&gt;0,Source!R25/Source!BS25,Source!R25)</f>
        <v>32.38005390835579</v>
      </c>
    </row>
    <row r="35" spans="1:12" ht="30">
      <c r="A35" s="19" t="str">
        <f>Source!E27</f>
        <v>5</v>
      </c>
      <c r="B35" s="19" t="str">
        <f>Source!F27</f>
        <v>11-01-015-1</v>
      </c>
      <c r="C35" s="20" t="str">
        <f>Source!G27</f>
        <v>Устройство покрытий полимер-бетонных толщиной 30 мм</v>
      </c>
      <c r="D35" s="21" t="str">
        <f>Source!H27</f>
        <v>100 м2</v>
      </c>
      <c r="E35" s="9">
        <f>ROUND(Source!I27,6)</f>
        <v>10.66</v>
      </c>
      <c r="F35" s="9">
        <f>IF(Source!AK27&lt;&gt;0,Source!AK27,Source!AL27+Source!AM27+Source!AO27)</f>
        <v>2733.44</v>
      </c>
      <c r="G35" s="9"/>
      <c r="H35" s="9"/>
      <c r="I35" s="9"/>
      <c r="J35" s="9"/>
      <c r="K35" s="9"/>
      <c r="L35" s="9"/>
    </row>
    <row r="36" spans="1:12" ht="15">
      <c r="A36" s="7"/>
      <c r="B36" s="7"/>
      <c r="C36" s="7" t="s">
        <v>251</v>
      </c>
      <c r="D36" s="7"/>
      <c r="E36" s="7"/>
      <c r="F36" s="7">
        <f>Source!AO27</f>
        <v>321.42</v>
      </c>
      <c r="G36" s="22" t="str">
        <f>Source!DG27</f>
        <v>)*1,15</v>
      </c>
      <c r="H36" s="23">
        <f>IF(Source!BA27&lt;&gt;0,Source!S27/Source!BA27,Source!S27)</f>
        <v>3940.2875112309075</v>
      </c>
      <c r="I36" s="7" t="str">
        <f>IF(Source!BO27&lt;&gt;"",Source!BO27,"")</f>
        <v>11-01-015-1</v>
      </c>
      <c r="J36" s="7">
        <f>Source!BA27</f>
        <v>11.13</v>
      </c>
      <c r="K36" s="23">
        <f>Source!S27</f>
        <v>43855.4</v>
      </c>
      <c r="L36" s="7"/>
    </row>
    <row r="37" spans="1:12" ht="15">
      <c r="A37" s="7"/>
      <c r="B37" s="7"/>
      <c r="C37" s="7" t="s">
        <v>83</v>
      </c>
      <c r="D37" s="7"/>
      <c r="E37" s="7"/>
      <c r="F37" s="7">
        <f>Source!AM27</f>
        <v>199.48</v>
      </c>
      <c r="G37" s="22" t="str">
        <f>Source!DE27</f>
        <v>)*1,25</v>
      </c>
      <c r="H37" s="23">
        <f>IF(Source!BB27&lt;&gt;0,Source!Q27/Source!BB27,Source!Q27)</f>
        <v>2658.069977426637</v>
      </c>
      <c r="I37" s="7"/>
      <c r="J37" s="7">
        <f>Source!BB27</f>
        <v>4.43</v>
      </c>
      <c r="K37" s="23">
        <f>Source!Q27</f>
        <v>11775.25</v>
      </c>
      <c r="L37" s="7"/>
    </row>
    <row r="38" spans="1:12" ht="15">
      <c r="A38" s="7"/>
      <c r="B38" s="7"/>
      <c r="C38" s="7" t="s">
        <v>257</v>
      </c>
      <c r="D38" s="7"/>
      <c r="E38" s="7"/>
      <c r="F38" s="7">
        <f>Source!AN27</f>
        <v>31.43</v>
      </c>
      <c r="G38" s="22" t="str">
        <f>Source!DF27</f>
        <v>)*1,25</v>
      </c>
      <c r="H38" s="30">
        <f>IF(Source!BS27&lt;&gt;0,Source!R27/Source!BS27,Source!R27)</f>
        <v>418.80503144654085</v>
      </c>
      <c r="I38" s="7"/>
      <c r="J38" s="7">
        <f>Source!BS27</f>
        <v>11.13</v>
      </c>
      <c r="K38" s="11">
        <f>Source!R27</f>
        <v>4661.3</v>
      </c>
      <c r="L38" s="7"/>
    </row>
    <row r="39" spans="1:12" ht="15">
      <c r="A39" s="7"/>
      <c r="B39" s="7"/>
      <c r="C39" s="7" t="s">
        <v>258</v>
      </c>
      <c r="D39" s="7"/>
      <c r="E39" s="7"/>
      <c r="F39" s="7">
        <f>Source!AL27</f>
        <v>2212.54</v>
      </c>
      <c r="G39" s="22">
        <f>Source!DD27</f>
      </c>
      <c r="H39" s="23">
        <f>IF(Source!BC27&lt;&gt;0,Source!P27/Source!BC27,Source!P27)</f>
        <v>23585.676082862527</v>
      </c>
      <c r="I39" s="7"/>
      <c r="J39" s="7">
        <f>Source!BC27</f>
        <v>5.31</v>
      </c>
      <c r="K39" s="23">
        <f>Source!P27</f>
        <v>125239.94</v>
      </c>
      <c r="L39" s="7"/>
    </row>
    <row r="40" spans="1:12" ht="15">
      <c r="A40" s="7"/>
      <c r="B40" s="7"/>
      <c r="C40" s="7" t="s">
        <v>252</v>
      </c>
      <c r="D40" s="11" t="s">
        <v>253</v>
      </c>
      <c r="E40" s="7"/>
      <c r="F40" s="7">
        <f>Source!AT27</f>
        <v>115.62</v>
      </c>
      <c r="G40" s="7"/>
      <c r="H40" s="23">
        <f>(F40/100)*((Source!S27/IF(Source!BA27&lt;&gt;0,Source!BA27,1))+(Source!R27/IF(Source!BS27&lt;&gt;0,Source!BS27,1)))</f>
        <v>5039.982797843666</v>
      </c>
      <c r="I40" s="7"/>
      <c r="J40" s="7">
        <f>Source!AT27</f>
        <v>115.62</v>
      </c>
      <c r="K40" s="23">
        <f>Source!X27</f>
        <v>56095.01</v>
      </c>
      <c r="L40" s="7"/>
    </row>
    <row r="41" spans="1:12" ht="15">
      <c r="A41" s="7"/>
      <c r="B41" s="7"/>
      <c r="C41" s="7" t="s">
        <v>254</v>
      </c>
      <c r="D41" s="11" t="s">
        <v>253</v>
      </c>
      <c r="E41" s="7"/>
      <c r="F41" s="7">
        <f>Source!AU27</f>
        <v>75</v>
      </c>
      <c r="G41" s="7"/>
      <c r="H41" s="23">
        <f>(F41/100)*((Source!S27/IF(Source!BA27&lt;&gt;0,Source!BA27,1))+(Source!R27/IF(Source!BS27&lt;&gt;0,Source!BS27,1)))</f>
        <v>3269.3194070080863</v>
      </c>
      <c r="I41" s="7"/>
      <c r="J41" s="7">
        <f>Source!AU27</f>
        <v>75</v>
      </c>
      <c r="K41" s="23">
        <f>Source!Y27</f>
        <v>36387.53</v>
      </c>
      <c r="L41" s="7"/>
    </row>
    <row r="42" spans="1:12" ht="15">
      <c r="A42" s="7"/>
      <c r="B42" s="7"/>
      <c r="C42" s="7" t="s">
        <v>255</v>
      </c>
      <c r="D42" s="11" t="s">
        <v>256</v>
      </c>
      <c r="E42" s="7">
        <f>Source!AQ27</f>
        <v>40.43</v>
      </c>
      <c r="F42" s="7"/>
      <c r="G42" s="22">
        <f>Source!DI27</f>
      </c>
      <c r="H42" s="7"/>
      <c r="I42" s="7"/>
      <c r="J42" s="7"/>
      <c r="K42" s="7"/>
      <c r="L42" s="7">
        <f>Source!U27</f>
        <v>430.98</v>
      </c>
    </row>
    <row r="43" spans="1:23" ht="45">
      <c r="A43" s="19"/>
      <c r="B43" s="19" t="str">
        <f>Source!F28</f>
        <v>401-0066</v>
      </c>
      <c r="C43" s="20" t="str">
        <f>Source!G28</f>
        <v>Бетон тяжелый, крупность заполнителя 20 мм, класс В 15 (М200)</v>
      </c>
      <c r="D43" s="21" t="str">
        <f>Source!H28</f>
        <v>м3</v>
      </c>
      <c r="E43" s="9">
        <f>ROUND(Source!I28,6)</f>
        <v>-32.6196</v>
      </c>
      <c r="F43" s="9">
        <f>IF(Source!AL28=0,Source!AK28,Source!AL28)</f>
        <v>665</v>
      </c>
      <c r="G43" s="31">
        <f>Source!DD28</f>
      </c>
      <c r="H43" s="10">
        <f>IF(Source!BC28&lt;&gt;0,Source!O28/Source!BC28,Source!O28)</f>
        <v>-21692.033898305086</v>
      </c>
      <c r="I43" s="9"/>
      <c r="J43" s="9">
        <f>Source!BC28</f>
        <v>5.31</v>
      </c>
      <c r="K43" s="10">
        <f>Source!O28</f>
        <v>-115184.7</v>
      </c>
      <c r="L43" s="9"/>
      <c r="N43">
        <f>IF(Source!BA28&lt;&gt;0,Source!S28/Source!BA28,Source!S28)</f>
        <v>0</v>
      </c>
      <c r="O43">
        <f>IF(Source!BI28=1,(IF(Source!BC28&lt;&gt;0,Source!O28/Source!BC28,Source!O28)),0)</f>
        <v>-21692.033898305086</v>
      </c>
      <c r="P43">
        <f>IF(Source!BI28=2,(IF(Source!BC28&lt;&gt;0,Source!O28/Source!BC28,Source!O28)),0)</f>
        <v>0</v>
      </c>
      <c r="Q43">
        <f>IF(Source!BI28=3,(IF(Source!BC28&lt;&gt;0,Source!O28/Source!BC28,Source!O28)),0)</f>
        <v>0</v>
      </c>
      <c r="R43">
        <f>IF(Source!BI28=4,(IF(Source!BC28&lt;&gt;0,Source!O28/Source!BC28,Source!O28)),0)</f>
        <v>0</v>
      </c>
      <c r="S43">
        <f>IF(Source!BI28=1,Source!O28+Source!X28+Source!Y28,0)</f>
        <v>-115184.7</v>
      </c>
      <c r="T43">
        <f>IF(Source!BI28=2,Source!O28+Source!X28+Source!Y28,0)</f>
        <v>0</v>
      </c>
      <c r="U43">
        <f>IF(Source!BI28=3,Source!O28+Source!X28+Source!Y28,0)</f>
        <v>0</v>
      </c>
      <c r="V43">
        <f>IF(Source!BI28=4,Source!O28+Source!X28+Source!Y28,0)</f>
        <v>0</v>
      </c>
      <c r="W43">
        <f>IF(Source!BS28&lt;&gt;0,Source!R28/Source!BS28,Source!R28)</f>
        <v>0</v>
      </c>
    </row>
    <row r="44" spans="1:23" ht="30">
      <c r="A44" s="19"/>
      <c r="B44" s="19" t="str">
        <f>Source!F29</f>
        <v>401-0248</v>
      </c>
      <c r="C44" s="20" t="str">
        <f>Source!G29</f>
        <v>Бетон песчаный, класс В 22,5 (М300)</v>
      </c>
      <c r="D44" s="21" t="str">
        <f>Source!H29</f>
        <v>м3</v>
      </c>
      <c r="E44" s="9">
        <f>ROUND(Source!I29,6)</f>
        <v>32.6196</v>
      </c>
      <c r="F44" s="9">
        <f>IF(Source!AL29=0,Source!AK29,Source!AL29)</f>
        <v>643.43</v>
      </c>
      <c r="G44" s="31">
        <f>Source!DD29</f>
      </c>
      <c r="H44" s="10">
        <f>IF(Source!BC29&lt;&gt;0,Source!O29/Source!BC29,Source!O29)</f>
        <v>20988.429378531073</v>
      </c>
      <c r="I44" s="9"/>
      <c r="J44" s="9">
        <f>Source!BC29</f>
        <v>5.31</v>
      </c>
      <c r="K44" s="10">
        <f>Source!O29</f>
        <v>111448.56</v>
      </c>
      <c r="L44" s="9"/>
      <c r="N44">
        <f>IF(Source!BA29&lt;&gt;0,Source!S29/Source!BA29,Source!S29)</f>
        <v>0</v>
      </c>
      <c r="O44">
        <f>IF(Source!BI29=1,(IF(Source!BC29&lt;&gt;0,Source!O29/Source!BC29,Source!O29)),0)</f>
        <v>20988.429378531073</v>
      </c>
      <c r="P44">
        <f>IF(Source!BI29=2,(IF(Source!BC29&lt;&gt;0,Source!O29/Source!BC29,Source!O29)),0)</f>
        <v>0</v>
      </c>
      <c r="Q44">
        <f>IF(Source!BI29=3,(IF(Source!BC29&lt;&gt;0,Source!O29/Source!BC29,Source!O29)),0)</f>
        <v>0</v>
      </c>
      <c r="R44">
        <f>IF(Source!BI29=4,(IF(Source!BC29&lt;&gt;0,Source!O29/Source!BC29,Source!O29)),0)</f>
        <v>0</v>
      </c>
      <c r="S44">
        <f>IF(Source!BI29=1,Source!O29+Source!X29+Source!Y29,0)</f>
        <v>111448.56</v>
      </c>
      <c r="T44">
        <f>IF(Source!BI29=2,Source!O29+Source!X29+Source!Y29,0)</f>
        <v>0</v>
      </c>
      <c r="U44">
        <f>IF(Source!BI29=3,Source!O29+Source!X29+Source!Y29,0)</f>
        <v>0</v>
      </c>
      <c r="V44">
        <f>IF(Source!BI29=4,Source!O29+Source!X29+Source!Y29,0)</f>
        <v>0</v>
      </c>
      <c r="W44">
        <f>IF(Source!BS29&lt;&gt;0,Source!R29/Source!BS29,Source!R29)</f>
        <v>0</v>
      </c>
    </row>
    <row r="45" spans="1:23" ht="30">
      <c r="A45" s="32"/>
      <c r="B45" s="32" t="str">
        <f>Source!F30</f>
        <v>расчет</v>
      </c>
      <c r="C45" s="33" t="str">
        <f>Source!G30</f>
        <v>Фибра полипропиленовая "FIBRIN" (450/1,18/5,31*1,13)</v>
      </c>
      <c r="D45" s="34" t="str">
        <f>Source!H30</f>
        <v>кг</v>
      </c>
      <c r="E45" s="35">
        <f>ROUND(Source!I30,6)</f>
        <v>28</v>
      </c>
      <c r="F45" s="35">
        <f>IF(Source!AL30=0,Source!AK30,Source!AL30)</f>
        <v>81.15</v>
      </c>
      <c r="G45" s="36">
        <f>Source!DD30</f>
      </c>
      <c r="H45" s="37">
        <f>IF(Source!BC30&lt;&gt;0,Source!O30/Source!BC30,Source!O30)</f>
        <v>2272.199623352166</v>
      </c>
      <c r="I45" s="35"/>
      <c r="J45" s="35">
        <f>Source!BC30</f>
        <v>5.31</v>
      </c>
      <c r="K45" s="37">
        <f>Source!O30</f>
        <v>12065.38</v>
      </c>
      <c r="L45" s="35"/>
      <c r="N45">
        <f>IF(Source!BA30&lt;&gt;0,Source!S30/Source!BA30,Source!S30)</f>
        <v>0</v>
      </c>
      <c r="O45">
        <f>IF(Source!BI30=1,(IF(Source!BC30&lt;&gt;0,Source!O30/Source!BC30,Source!O30)),0)</f>
        <v>2272.199623352166</v>
      </c>
      <c r="P45">
        <f>IF(Source!BI30=2,(IF(Source!BC30&lt;&gt;0,Source!O30/Source!BC30,Source!O30)),0)</f>
        <v>0</v>
      </c>
      <c r="Q45">
        <f>IF(Source!BI30=3,(IF(Source!BC30&lt;&gt;0,Source!O30/Source!BC30,Source!O30)),0)</f>
        <v>0</v>
      </c>
      <c r="R45">
        <f>IF(Source!BI30=4,(IF(Source!BC30&lt;&gt;0,Source!O30/Source!BC30,Source!O30)),0)</f>
        <v>0</v>
      </c>
      <c r="S45">
        <f>IF(Source!BI30=1,Source!O30+Source!X30+Source!Y30,0)</f>
        <v>12065.38</v>
      </c>
      <c r="T45">
        <f>IF(Source!BI30=2,Source!O30+Source!X30+Source!Y30,0)</f>
        <v>0</v>
      </c>
      <c r="U45">
        <f>IF(Source!BI30=3,Source!O30+Source!X30+Source!Y30,0)</f>
        <v>0</v>
      </c>
      <c r="V45">
        <f>IF(Source!BI30=4,Source!O30+Source!X30+Source!Y30,0)</f>
        <v>0</v>
      </c>
      <c r="W45">
        <f>IF(Source!BS30&lt;&gt;0,Source!R30/Source!BS30,Source!R30)</f>
        <v>0</v>
      </c>
    </row>
    <row r="46" spans="1:23" ht="15.75">
      <c r="A46" s="7"/>
      <c r="B46" s="7"/>
      <c r="C46" s="7"/>
      <c r="D46" s="7"/>
      <c r="E46" s="7"/>
      <c r="F46" s="7"/>
      <c r="G46" s="7"/>
      <c r="H46" s="28">
        <f>IF(Source!BA27&lt;&gt;0,Source!S27/Source!BA27,Source!S27)+IF(Source!BB27&lt;&gt;0,Source!Q27/Source!BB27,Source!Q27)+H39+H40+H41+H43+H44+H45</f>
        <v>40061.93087994997</v>
      </c>
      <c r="I46" s="29"/>
      <c r="J46" s="29"/>
      <c r="K46" s="28">
        <f>Source!S27+Source!Q27+K39+K40+K41+K43+K44+K45</f>
        <v>281682.37</v>
      </c>
      <c r="L46" s="29">
        <f>Source!U27</f>
        <v>430.98</v>
      </c>
      <c r="M46" s="24">
        <f>H46</f>
        <v>40061.93087994997</v>
      </c>
      <c r="N46">
        <f>IF(Source!BA27&lt;&gt;0,Source!S27/Source!BA27,Source!S27)</f>
        <v>3940.2875112309075</v>
      </c>
      <c r="O46">
        <f>IF(Source!BI27=1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38493.33577637182</v>
      </c>
      <c r="P46">
        <f>IF(Source!BI27=2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Q46">
        <f>IF(Source!BI27=3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R46">
        <f>IF(Source!BI27=4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S46">
        <f>IF(Source!BI27=1,Source!O27+Source!X27+Source!Y27,0)</f>
        <v>273353.13</v>
      </c>
      <c r="T46">
        <f>IF(Source!BI27=2,Source!O27+Source!X27+Source!Y27,0)</f>
        <v>0</v>
      </c>
      <c r="U46">
        <f>IF(Source!BI27=3,Source!O27+Source!X27+Source!Y27,0)</f>
        <v>0</v>
      </c>
      <c r="V46">
        <f>IF(Source!BI27=4,Source!O27+Source!X27+Source!Y27,0)</f>
        <v>0</v>
      </c>
      <c r="W46">
        <f>IF(Source!BS27&lt;&gt;0,Source!R27/Source!BS27,Source!R27)</f>
        <v>418.80503144654085</v>
      </c>
    </row>
    <row r="47" spans="1:12" ht="15">
      <c r="A47" s="19" t="str">
        <f>Source!E31</f>
        <v>6</v>
      </c>
      <c r="B47" s="19" t="str">
        <f>Source!F31</f>
        <v>11-01-015-7</v>
      </c>
      <c r="C47" s="20" t="str">
        <f>Source!G31</f>
        <v>Затирка бетонных покрытий</v>
      </c>
      <c r="D47" s="21" t="str">
        <f>Source!H31</f>
        <v>100 м2</v>
      </c>
      <c r="E47" s="9">
        <f>ROUND(Source!I31,6)</f>
        <v>10.66</v>
      </c>
      <c r="F47" s="9">
        <f>IF(Source!AK31&lt;&gt;0,Source!AK31,Source!AL31+Source!AM31+Source!AO31)</f>
        <v>979.16</v>
      </c>
      <c r="G47" s="9"/>
      <c r="H47" s="9"/>
      <c r="I47" s="9"/>
      <c r="J47" s="9"/>
      <c r="K47" s="9"/>
      <c r="L47" s="9"/>
    </row>
    <row r="48" spans="1:12" ht="15">
      <c r="A48" s="7"/>
      <c r="B48" s="7"/>
      <c r="C48" s="7" t="s">
        <v>251</v>
      </c>
      <c r="D48" s="7"/>
      <c r="E48" s="7"/>
      <c r="F48" s="7">
        <f>Source!AO31</f>
        <v>726.76</v>
      </c>
      <c r="G48" s="22" t="str">
        <f>Source!DG31</f>
        <v>)*1,15</v>
      </c>
      <c r="H48" s="23">
        <f>IF(Source!BA31&lt;&gt;0,Source!S31/Source!BA31,Source!S31)</f>
        <v>8909.350404312669</v>
      </c>
      <c r="I48" s="7" t="str">
        <f>IF(Source!BO31&lt;&gt;"",Source!BO31,"")</f>
        <v>11-01-015-7</v>
      </c>
      <c r="J48" s="7">
        <f>Source!BA31</f>
        <v>11.13</v>
      </c>
      <c r="K48" s="23">
        <f>Source!S31</f>
        <v>99161.07</v>
      </c>
      <c r="L48" s="7"/>
    </row>
    <row r="49" spans="1:12" ht="15">
      <c r="A49" s="7"/>
      <c r="B49" s="7"/>
      <c r="C49" s="7" t="s">
        <v>83</v>
      </c>
      <c r="D49" s="7"/>
      <c r="E49" s="7"/>
      <c r="F49" s="7">
        <f>Source!AM31</f>
        <v>236.1</v>
      </c>
      <c r="G49" s="22" t="str">
        <f>Source!DE31</f>
        <v>)*1,25</v>
      </c>
      <c r="H49" s="23">
        <f>IF(Source!BB31&lt;&gt;0,Source!Q31/Source!BB31,Source!Q31)</f>
        <v>3146.0325047801143</v>
      </c>
      <c r="I49" s="7"/>
      <c r="J49" s="7">
        <f>Source!BB31</f>
        <v>5.23</v>
      </c>
      <c r="K49" s="23">
        <f>Source!Q31</f>
        <v>16453.75</v>
      </c>
      <c r="L49" s="7"/>
    </row>
    <row r="50" spans="1:12" ht="15">
      <c r="A50" s="7"/>
      <c r="B50" s="7"/>
      <c r="C50" s="7" t="s">
        <v>257</v>
      </c>
      <c r="D50" s="7"/>
      <c r="E50" s="7"/>
      <c r="F50" s="7">
        <f>Source!AN31</f>
        <v>21.03</v>
      </c>
      <c r="G50" s="22" t="str">
        <f>Source!DF31</f>
        <v>)*1,25</v>
      </c>
      <c r="H50" s="30">
        <f>IF(Source!BS31&lt;&gt;0,Source!R31/Source!BS31,Source!R31)</f>
        <v>280.22461814914647</v>
      </c>
      <c r="I50" s="7"/>
      <c r="J50" s="7">
        <f>Source!BS31</f>
        <v>11.13</v>
      </c>
      <c r="K50" s="11">
        <f>Source!R31</f>
        <v>3118.9</v>
      </c>
      <c r="L50" s="7"/>
    </row>
    <row r="51" spans="1:12" ht="15">
      <c r="A51" s="7"/>
      <c r="B51" s="7"/>
      <c r="C51" s="7" t="s">
        <v>258</v>
      </c>
      <c r="D51" s="7"/>
      <c r="E51" s="7"/>
      <c r="F51" s="7">
        <f>Source!AL31</f>
        <v>16.3</v>
      </c>
      <c r="G51" s="22">
        <f>Source!DD31</f>
      </c>
      <c r="H51" s="23">
        <f>IF(Source!BC31&lt;&gt;0,Source!P31/Source!BC31,Source!P31)</f>
        <v>173.75817923186344</v>
      </c>
      <c r="I51" s="7"/>
      <c r="J51" s="7">
        <f>Source!BC31</f>
        <v>7.03</v>
      </c>
      <c r="K51" s="23">
        <f>Source!P31</f>
        <v>1221.52</v>
      </c>
      <c r="L51" s="7"/>
    </row>
    <row r="52" spans="1:12" ht="15">
      <c r="A52" s="7"/>
      <c r="B52" s="7"/>
      <c r="C52" s="7" t="s">
        <v>252</v>
      </c>
      <c r="D52" s="11" t="s">
        <v>253</v>
      </c>
      <c r="E52" s="7"/>
      <c r="F52" s="7">
        <f>Source!AT31</f>
        <v>115.62</v>
      </c>
      <c r="G52" s="7"/>
      <c r="H52" s="23">
        <f>(F52/100)*((Source!S31/IF(Source!BA31&lt;&gt;0,Source!BA31,1))+(Source!R31/IF(Source!BS31&lt;&gt;0,Source!BS31,1)))</f>
        <v>10624.986640970352</v>
      </c>
      <c r="I52" s="7"/>
      <c r="J52" s="7">
        <f>Source!AT31</f>
        <v>115.62</v>
      </c>
      <c r="K52" s="23">
        <f>Source!X31</f>
        <v>118256.1</v>
      </c>
      <c r="L52" s="7"/>
    </row>
    <row r="53" spans="1:12" ht="15">
      <c r="A53" s="7"/>
      <c r="B53" s="7"/>
      <c r="C53" s="7" t="s">
        <v>254</v>
      </c>
      <c r="D53" s="11" t="s">
        <v>253</v>
      </c>
      <c r="E53" s="7"/>
      <c r="F53" s="7">
        <f>Source!AU31</f>
        <v>75</v>
      </c>
      <c r="G53" s="7"/>
      <c r="H53" s="23">
        <f>(F53/100)*((Source!S31/IF(Source!BA31&lt;&gt;0,Source!BA31,1))+(Source!R31/IF(Source!BS31&lt;&gt;0,Source!BS31,1)))</f>
        <v>6892.181266846361</v>
      </c>
      <c r="I53" s="7"/>
      <c r="J53" s="7">
        <f>Source!AU31</f>
        <v>75</v>
      </c>
      <c r="K53" s="23">
        <f>Source!Y31</f>
        <v>76709.98</v>
      </c>
      <c r="L53" s="7"/>
    </row>
    <row r="54" spans="1:12" ht="15">
      <c r="A54" s="25"/>
      <c r="B54" s="25"/>
      <c r="C54" s="25" t="s">
        <v>255</v>
      </c>
      <c r="D54" s="26" t="s">
        <v>256</v>
      </c>
      <c r="E54" s="25">
        <f>Source!AQ31</f>
        <v>80.04</v>
      </c>
      <c r="F54" s="25"/>
      <c r="G54" s="27">
        <f>Source!DI31</f>
      </c>
      <c r="H54" s="25"/>
      <c r="I54" s="25"/>
      <c r="J54" s="25"/>
      <c r="K54" s="25"/>
      <c r="L54" s="25">
        <f>Source!U31</f>
        <v>853.23</v>
      </c>
    </row>
    <row r="55" spans="1:23" ht="15.75">
      <c r="A55" s="7"/>
      <c r="B55" s="7"/>
      <c r="C55" s="7"/>
      <c r="D55" s="7"/>
      <c r="E55" s="7"/>
      <c r="F55" s="7"/>
      <c r="G55" s="7"/>
      <c r="H55" s="28">
        <f>IF(Source!BA31&lt;&gt;0,Source!S31/Source!BA31,Source!S31)+IF(Source!BB31&lt;&gt;0,Source!Q31/Source!BB31,Source!Q31)+H51+H52+H53</f>
        <v>29746.308996141357</v>
      </c>
      <c r="I55" s="29"/>
      <c r="J55" s="29"/>
      <c r="K55" s="28">
        <f>Source!S31+Source!Q31+K51+K52+K53</f>
        <v>311802.42</v>
      </c>
      <c r="L55" s="29">
        <f>Source!U31</f>
        <v>853.23</v>
      </c>
      <c r="M55" s="24">
        <f>H55</f>
        <v>29746.308996141357</v>
      </c>
      <c r="N55">
        <f>IF(Source!BA31&lt;&gt;0,Source!S31/Source!BA31,Source!S31)</f>
        <v>8909.350404312669</v>
      </c>
      <c r="O55">
        <f>IF(Source!BI31=1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29746.308996141357</v>
      </c>
      <c r="P55">
        <f>IF(Source!BI31=2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Q55">
        <f>IF(Source!BI31=3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R55">
        <f>IF(Source!BI31=4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S55">
        <f>IF(Source!BI31=1,Source!O31+Source!X31+Source!Y31,0)</f>
        <v>311802.42</v>
      </c>
      <c r="T55">
        <f>IF(Source!BI31=2,Source!O31+Source!X31+Source!Y31,0)</f>
        <v>0</v>
      </c>
      <c r="U55">
        <f>IF(Source!BI31=3,Source!O31+Source!X31+Source!Y31,0)</f>
        <v>0</v>
      </c>
      <c r="V55">
        <f>IF(Source!BI31=4,Source!O31+Source!X31+Source!Y31,0)</f>
        <v>0</v>
      </c>
      <c r="W55">
        <f>IF(Source!BS31&lt;&gt;0,Source!R31/Source!BS31,Source!R31)</f>
        <v>280.22461814914647</v>
      </c>
    </row>
    <row r="56" spans="1:12" ht="45">
      <c r="A56" s="19" t="str">
        <f>Source!E32</f>
        <v>8</v>
      </c>
      <c r="B56" s="19" t="str">
        <f>Source!F32</f>
        <v>53-21-7</v>
      </c>
      <c r="C56" s="20" t="str">
        <f>Source!G32</f>
        <v>Герметизации горизонтальных  стыков мастикой герметизирующей нетвердеющей  (прим)</v>
      </c>
      <c r="D56" s="21" t="str">
        <f>Source!H32</f>
        <v>100 м</v>
      </c>
      <c r="E56" s="9">
        <f>ROUND(Source!I32,6)</f>
        <v>9</v>
      </c>
      <c r="F56" s="9">
        <f>IF(Source!AK32&lt;&gt;0,Source!AK32,Source!AL32+Source!AM32+Source!AO32)</f>
        <v>3771.51</v>
      </c>
      <c r="G56" s="9"/>
      <c r="H56" s="9"/>
      <c r="I56" s="9"/>
      <c r="J56" s="9"/>
      <c r="K56" s="9"/>
      <c r="L56" s="9"/>
    </row>
    <row r="57" spans="1:12" ht="15">
      <c r="A57" s="7"/>
      <c r="B57" s="7"/>
      <c r="C57" s="7" t="s">
        <v>251</v>
      </c>
      <c r="D57" s="7"/>
      <c r="E57" s="7"/>
      <c r="F57" s="7">
        <f>Source!AO32</f>
        <v>310</v>
      </c>
      <c r="G57" s="22">
        <f>Source!DG32</f>
      </c>
      <c r="H57" s="23">
        <f>IF(Source!BA32&lt;&gt;0,Source!S32/Source!BA32,Source!S32)</f>
        <v>2790</v>
      </c>
      <c r="I57" s="7" t="str">
        <f>IF(Source!BO32&lt;&gt;"",Source!BO32,"")</f>
        <v>53-21-7</v>
      </c>
      <c r="J57" s="7">
        <f>Source!BA32</f>
        <v>11.13</v>
      </c>
      <c r="K57" s="23">
        <f>Source!S32</f>
        <v>31052.7</v>
      </c>
      <c r="L57" s="7"/>
    </row>
    <row r="58" spans="1:12" ht="15">
      <c r="A58" s="7"/>
      <c r="B58" s="7"/>
      <c r="C58" s="7" t="s">
        <v>83</v>
      </c>
      <c r="D58" s="7"/>
      <c r="E58" s="7"/>
      <c r="F58" s="7">
        <f>Source!AM32</f>
        <v>2152.17</v>
      </c>
      <c r="G58" s="22">
        <f>Source!DE32</f>
      </c>
      <c r="H58" s="23">
        <f>IF(Source!BB32&lt;&gt;0,Source!Q32/Source!BB32,Source!Q32)</f>
        <v>19369.5303030303</v>
      </c>
      <c r="I58" s="7"/>
      <c r="J58" s="7">
        <f>Source!BB32</f>
        <v>4.62</v>
      </c>
      <c r="K58" s="23">
        <f>Source!Q32</f>
        <v>89487.23</v>
      </c>
      <c r="L58" s="7"/>
    </row>
    <row r="59" spans="1:12" ht="15">
      <c r="A59" s="7"/>
      <c r="B59" s="7"/>
      <c r="C59" s="7" t="s">
        <v>257</v>
      </c>
      <c r="D59" s="7"/>
      <c r="E59" s="7"/>
      <c r="F59" s="7">
        <f>Source!AN32</f>
        <v>247.62</v>
      </c>
      <c r="G59" s="22">
        <f>Source!DF32</f>
      </c>
      <c r="H59" s="30">
        <f>IF(Source!BS32&lt;&gt;0,Source!R32/Source!BS32,Source!R32)</f>
        <v>2228.580413297394</v>
      </c>
      <c r="I59" s="7"/>
      <c r="J59" s="7">
        <f>Source!BS32</f>
        <v>11.13</v>
      </c>
      <c r="K59" s="11">
        <f>Source!R32</f>
        <v>24804.1</v>
      </c>
      <c r="L59" s="7"/>
    </row>
    <row r="60" spans="1:12" ht="15">
      <c r="A60" s="7"/>
      <c r="B60" s="7"/>
      <c r="C60" s="7" t="s">
        <v>258</v>
      </c>
      <c r="D60" s="7"/>
      <c r="E60" s="7"/>
      <c r="F60" s="7">
        <f>Source!AL32</f>
        <v>1309.34</v>
      </c>
      <c r="G60" s="22">
        <f>Source!DD32</f>
      </c>
      <c r="H60" s="23">
        <f>IF(Source!BC32&lt;&gt;0,Source!P32/Source!BC32,Source!P32)</f>
        <v>11784.061946902655</v>
      </c>
      <c r="I60" s="7"/>
      <c r="J60" s="7">
        <f>Source!BC32</f>
        <v>2.26</v>
      </c>
      <c r="K60" s="23">
        <f>Source!P32</f>
        <v>26631.98</v>
      </c>
      <c r="L60" s="7"/>
    </row>
    <row r="61" spans="1:12" ht="15">
      <c r="A61" s="7"/>
      <c r="B61" s="7"/>
      <c r="C61" s="7" t="s">
        <v>252</v>
      </c>
      <c r="D61" s="11" t="s">
        <v>253</v>
      </c>
      <c r="E61" s="7"/>
      <c r="F61" s="7">
        <f>Source!AT32</f>
        <v>80.84</v>
      </c>
      <c r="G61" s="7"/>
      <c r="H61" s="23">
        <f>(F61/100)*((Source!S32/IF(Source!BA32&lt;&gt;0,Source!BA32,1))+(Source!R32/IF(Source!BS32&lt;&gt;0,Source!BS32,1)))</f>
        <v>4057.020406109613</v>
      </c>
      <c r="I61" s="7"/>
      <c r="J61" s="7">
        <f>Source!AT32</f>
        <v>80.84</v>
      </c>
      <c r="K61" s="23">
        <f>Source!X32</f>
        <v>45154.64</v>
      </c>
      <c r="L61" s="7"/>
    </row>
    <row r="62" spans="1:12" ht="15">
      <c r="A62" s="7"/>
      <c r="B62" s="7"/>
      <c r="C62" s="7" t="s">
        <v>254</v>
      </c>
      <c r="D62" s="11" t="s">
        <v>253</v>
      </c>
      <c r="E62" s="7"/>
      <c r="F62" s="7">
        <f>Source!AU32</f>
        <v>70</v>
      </c>
      <c r="G62" s="7"/>
      <c r="H62" s="23">
        <f>(F62/100)*((Source!S32/IF(Source!BA32&lt;&gt;0,Source!BA32,1))+(Source!R32/IF(Source!BS32&lt;&gt;0,Source!BS32,1)))</f>
        <v>3513.0062893081754</v>
      </c>
      <c r="I62" s="7"/>
      <c r="J62" s="7">
        <f>Source!AU32</f>
        <v>70</v>
      </c>
      <c r="K62" s="23">
        <f>Source!Y32</f>
        <v>39099.76</v>
      </c>
      <c r="L62" s="7"/>
    </row>
    <row r="63" spans="1:12" ht="15">
      <c r="A63" s="25"/>
      <c r="B63" s="25"/>
      <c r="C63" s="25" t="s">
        <v>255</v>
      </c>
      <c r="D63" s="26" t="s">
        <v>256</v>
      </c>
      <c r="E63" s="25">
        <f>Source!AQ32</f>
        <v>31.73</v>
      </c>
      <c r="F63" s="25"/>
      <c r="G63" s="27">
        <f>Source!DI32</f>
      </c>
      <c r="H63" s="25"/>
      <c r="I63" s="25"/>
      <c r="J63" s="25"/>
      <c r="K63" s="25"/>
      <c r="L63" s="25">
        <f>Source!U32</f>
        <v>285.57</v>
      </c>
    </row>
    <row r="64" spans="1:23" ht="15.75">
      <c r="A64" s="7"/>
      <c r="B64" s="7"/>
      <c r="C64" s="7"/>
      <c r="D64" s="7"/>
      <c r="E64" s="7"/>
      <c r="F64" s="7"/>
      <c r="G64" s="7"/>
      <c r="H64" s="28">
        <f>IF(Source!BA32&lt;&gt;0,Source!S32/Source!BA32,Source!S32)+IF(Source!BB32&lt;&gt;0,Source!Q32/Source!BB32,Source!Q32)+H60+H61+H62</f>
        <v>41513.61894535075</v>
      </c>
      <c r="I64" s="29"/>
      <c r="J64" s="29"/>
      <c r="K64" s="28">
        <f>Source!S32+Source!Q32+K60+K61+K62</f>
        <v>231426.31</v>
      </c>
      <c r="L64" s="29">
        <f>Source!U32</f>
        <v>285.57</v>
      </c>
      <c r="M64" s="24">
        <f>H64</f>
        <v>41513.61894535075</v>
      </c>
      <c r="N64">
        <f>IF(Source!BA32&lt;&gt;0,Source!S32/Source!BA32,Source!S32)</f>
        <v>2790</v>
      </c>
      <c r="O64">
        <f>IF(Source!BI32=1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41513.61894535075</v>
      </c>
      <c r="P64">
        <f>IF(Source!BI32=2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Q64">
        <f>IF(Source!BI32=3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R64">
        <f>IF(Source!BI32=4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S64">
        <f>IF(Source!BI32=1,Source!O32+Source!X32+Source!Y32,0)</f>
        <v>231426.31</v>
      </c>
      <c r="T64">
        <f>IF(Source!BI32=2,Source!O32+Source!X32+Source!Y32,0)</f>
        <v>0</v>
      </c>
      <c r="U64">
        <f>IF(Source!BI32=3,Source!O32+Source!X32+Source!Y32,0)</f>
        <v>0</v>
      </c>
      <c r="V64">
        <f>IF(Source!BI32=4,Source!O32+Source!X32+Source!Y32,0)</f>
        <v>0</v>
      </c>
      <c r="W64">
        <f>IF(Source!BS32&lt;&gt;0,Source!R32/Source!BS32,Source!R32)</f>
        <v>2228.580413297394</v>
      </c>
    </row>
    <row r="65" spans="1:12" ht="45">
      <c r="A65" s="19" t="str">
        <f>Source!E33</f>
        <v>10</v>
      </c>
      <c r="B65" s="19" t="str">
        <f>Source!F33</f>
        <v>11-01-023-2</v>
      </c>
      <c r="C65" s="20" t="str">
        <f>Source!G33</f>
        <v>Устройство наливного пола на базе эпоксидных смол (без стоимости материалов)</v>
      </c>
      <c r="D65" s="21" t="str">
        <f>Source!H33</f>
        <v>100 м2</v>
      </c>
      <c r="E65" s="9">
        <f>ROUND(Source!I33,6)</f>
        <v>10.66</v>
      </c>
      <c r="F65" s="9">
        <f>IF(Source!AK33&lt;&gt;0,Source!AK33,Source!AL33+Source!AM33+Source!AO33)</f>
        <v>53207.48</v>
      </c>
      <c r="G65" s="9"/>
      <c r="H65" s="9"/>
      <c r="I65" s="9"/>
      <c r="J65" s="9"/>
      <c r="K65" s="9"/>
      <c r="L65" s="9"/>
    </row>
    <row r="66" spans="1:12" ht="15">
      <c r="A66" s="7"/>
      <c r="B66" s="7"/>
      <c r="C66" s="7" t="s">
        <v>251</v>
      </c>
      <c r="D66" s="7"/>
      <c r="E66" s="7"/>
      <c r="F66" s="7">
        <f>Source!AO33</f>
        <v>938.42</v>
      </c>
      <c r="G66" s="22" t="str">
        <f>Source!DG33</f>
        <v>)*1,15</v>
      </c>
      <c r="H66" s="23">
        <f>IF(Source!BA33&lt;&gt;0,Source!S33/Source!BA33,Source!S33)</f>
        <v>11504.090745732254</v>
      </c>
      <c r="I66" s="7" t="str">
        <f>IF(Source!BO33&lt;&gt;"",Source!BO33,"")</f>
        <v>11-01-023-2</v>
      </c>
      <c r="J66" s="7">
        <f>Source!BA33</f>
        <v>11.13</v>
      </c>
      <c r="K66" s="23">
        <f>Source!S33</f>
        <v>128040.53</v>
      </c>
      <c r="L66" s="7"/>
    </row>
    <row r="67" spans="1:12" ht="15">
      <c r="A67" s="7"/>
      <c r="B67" s="7"/>
      <c r="C67" s="7" t="s">
        <v>83</v>
      </c>
      <c r="D67" s="7"/>
      <c r="E67" s="7"/>
      <c r="F67" s="7">
        <f>Source!AM33</f>
        <v>156.14</v>
      </c>
      <c r="G67" s="22" t="str">
        <f>Source!DE33</f>
        <v>)*1,25</v>
      </c>
      <c r="H67" s="23">
        <f>IF(Source!BB33&lt;&gt;0,Source!Q33/Source!BB33,Source!Q33)</f>
        <v>2080.565705128205</v>
      </c>
      <c r="I67" s="7"/>
      <c r="J67" s="7">
        <f>Source!BB33</f>
        <v>6.24</v>
      </c>
      <c r="K67" s="23">
        <f>Source!Q33</f>
        <v>12982.73</v>
      </c>
      <c r="L67" s="7"/>
    </row>
    <row r="68" spans="1:12" ht="15">
      <c r="A68" s="7"/>
      <c r="B68" s="7"/>
      <c r="C68" s="7" t="s">
        <v>257</v>
      </c>
      <c r="D68" s="7"/>
      <c r="E68" s="7"/>
      <c r="F68" s="7">
        <f>Source!AN33</f>
        <v>66.86</v>
      </c>
      <c r="G68" s="22" t="str">
        <f>Source!DF33</f>
        <v>)*1,25</v>
      </c>
      <c r="H68" s="30">
        <f>IF(Source!BS33&lt;&gt;0,Source!R33/Source!BS33,Source!R33)</f>
        <v>890.9092542677447</v>
      </c>
      <c r="I68" s="7"/>
      <c r="J68" s="7">
        <f>Source!BS33</f>
        <v>11.13</v>
      </c>
      <c r="K68" s="11">
        <f>Source!R33</f>
        <v>9915.82</v>
      </c>
      <c r="L68" s="7"/>
    </row>
    <row r="69" spans="1:12" ht="15">
      <c r="A69" s="7"/>
      <c r="B69" s="7"/>
      <c r="C69" s="7" t="s">
        <v>252</v>
      </c>
      <c r="D69" s="11" t="s">
        <v>253</v>
      </c>
      <c r="E69" s="7"/>
      <c r="F69" s="7">
        <f>Source!AT33</f>
        <v>115.62</v>
      </c>
      <c r="G69" s="7"/>
      <c r="H69" s="23">
        <f>(F69/100)*((Source!S33/IF(Source!BA33&lt;&gt;0,Source!BA33,1))+(Source!R33/IF(Source!BS33&lt;&gt;0,Source!BS33,1)))</f>
        <v>14331.099</v>
      </c>
      <c r="I69" s="7"/>
      <c r="J69" s="7">
        <f>Source!AT33</f>
        <v>115.62</v>
      </c>
      <c r="K69" s="23">
        <f>Source!X33</f>
        <v>159505.13</v>
      </c>
      <c r="L69" s="7"/>
    </row>
    <row r="70" spans="1:12" ht="15">
      <c r="A70" s="7"/>
      <c r="B70" s="7"/>
      <c r="C70" s="7" t="s">
        <v>254</v>
      </c>
      <c r="D70" s="11" t="s">
        <v>253</v>
      </c>
      <c r="E70" s="7"/>
      <c r="F70" s="7">
        <f>Source!AU33</f>
        <v>75</v>
      </c>
      <c r="G70" s="7"/>
      <c r="H70" s="23">
        <f>(F70/100)*((Source!S33/IF(Source!BA33&lt;&gt;0,Source!BA33,1))+(Source!R33/IF(Source!BS33&lt;&gt;0,Source!BS33,1)))</f>
        <v>9296.249999999998</v>
      </c>
      <c r="I70" s="7"/>
      <c r="J70" s="7">
        <f>Source!AU33</f>
        <v>75</v>
      </c>
      <c r="K70" s="23">
        <f>Source!Y33</f>
        <v>103467.26</v>
      </c>
      <c r="L70" s="7"/>
    </row>
    <row r="71" spans="1:12" ht="15">
      <c r="A71" s="7"/>
      <c r="B71" s="7"/>
      <c r="C71" s="7" t="s">
        <v>255</v>
      </c>
      <c r="D71" s="11" t="s">
        <v>256</v>
      </c>
      <c r="E71" s="7">
        <f>Source!AQ33</f>
        <v>80.62</v>
      </c>
      <c r="F71" s="7"/>
      <c r="G71" s="22">
        <f>Source!DI33</f>
      </c>
      <c r="H71" s="7"/>
      <c r="I71" s="7"/>
      <c r="J71" s="7"/>
      <c r="K71" s="7"/>
      <c r="L71" s="7">
        <f>Source!U33</f>
        <v>859.41</v>
      </c>
    </row>
    <row r="72" spans="1:23" ht="15">
      <c r="A72" s="19"/>
      <c r="B72" s="19" t="str">
        <f>Source!F34</f>
        <v>расчет</v>
      </c>
      <c r="C72" s="20" t="str">
        <f>Source!G34</f>
        <v>ПУР-ГРУНТ (120/1,18/2,34*1,13)</v>
      </c>
      <c r="D72" s="21" t="str">
        <f>Source!H34</f>
        <v>кг</v>
      </c>
      <c r="E72" s="9">
        <f>ROUND(Source!I34,6)</f>
        <v>480</v>
      </c>
      <c r="F72" s="9">
        <f>IF(Source!AL34=0,Source!AK34,Source!AL34)</f>
        <v>49.1</v>
      </c>
      <c r="G72" s="31">
        <f>Source!DD34</f>
      </c>
      <c r="H72" s="10">
        <f>IF(Source!BC34&lt;&gt;0,Source!O34/Source!BC34,Source!O34)</f>
        <v>23568.000000000004</v>
      </c>
      <c r="I72" s="9"/>
      <c r="J72" s="9">
        <f>Source!BC34</f>
        <v>2.34</v>
      </c>
      <c r="K72" s="10">
        <f>Source!O34</f>
        <v>55149.12</v>
      </c>
      <c r="L72" s="9"/>
      <c r="N72">
        <f>IF(Source!BA34&lt;&gt;0,Source!S34/Source!BA34,Source!S34)</f>
        <v>0</v>
      </c>
      <c r="O72">
        <f>IF(Source!BI34=1,(IF(Source!BC34&lt;&gt;0,Source!O34/Source!BC34,Source!O34)),0)</f>
        <v>23568.000000000004</v>
      </c>
      <c r="P72">
        <f>IF(Source!BI34=2,(IF(Source!BC34&lt;&gt;0,Source!O34/Source!BC34,Source!O34)),0)</f>
        <v>0</v>
      </c>
      <c r="Q72">
        <f>IF(Source!BI34=3,(IF(Source!BC34&lt;&gt;0,Source!O34/Source!BC34,Source!O34)),0)</f>
        <v>0</v>
      </c>
      <c r="R72">
        <f>IF(Source!BI34=4,(IF(Source!BC34&lt;&gt;0,Source!O34/Source!BC34,Source!O34)),0)</f>
        <v>0</v>
      </c>
      <c r="S72">
        <f>IF(Source!BI34=1,Source!O34+Source!X34+Source!Y34,0)</f>
        <v>55149.12</v>
      </c>
      <c r="T72">
        <f>IF(Source!BI34=2,Source!O34+Source!X34+Source!Y34,0)</f>
        <v>0</v>
      </c>
      <c r="U72">
        <f>IF(Source!BI34=3,Source!O34+Source!X34+Source!Y34,0)</f>
        <v>0</v>
      </c>
      <c r="V72">
        <f>IF(Source!BI34=4,Source!O34+Source!X34+Source!Y34,0)</f>
        <v>0</v>
      </c>
      <c r="W72">
        <f>IF(Source!BS34&lt;&gt;0,Source!R34/Source!BS34,Source!R34)</f>
        <v>0</v>
      </c>
    </row>
    <row r="73" spans="1:23" ht="15">
      <c r="A73" s="32"/>
      <c r="B73" s="32" t="str">
        <f>Source!F35</f>
        <v>расчет</v>
      </c>
      <c r="C73" s="33" t="str">
        <f>Source!G35</f>
        <v>ПУР-ПОЛ ( 150/1,18/2,34*1,13)</v>
      </c>
      <c r="D73" s="34" t="str">
        <f>Source!H35</f>
        <v>кг</v>
      </c>
      <c r="E73" s="35">
        <f>ROUND(Source!I35,6)</f>
        <v>3411</v>
      </c>
      <c r="F73" s="35">
        <f>IF(Source!AL35=0,Source!AK35,Source!AL35)</f>
        <v>61.39</v>
      </c>
      <c r="G73" s="36">
        <f>Source!DD35</f>
      </c>
      <c r="H73" s="37">
        <f>IF(Source!BC35&lt;&gt;0,Source!O35/Source!BC35,Source!O35)</f>
        <v>209401.29059829062</v>
      </c>
      <c r="I73" s="35"/>
      <c r="J73" s="35">
        <f>Source!BC35</f>
        <v>2.34</v>
      </c>
      <c r="K73" s="37">
        <f>Source!O35</f>
        <v>489999.02</v>
      </c>
      <c r="L73" s="35"/>
      <c r="N73">
        <f>IF(Source!BA35&lt;&gt;0,Source!S35/Source!BA35,Source!S35)</f>
        <v>0</v>
      </c>
      <c r="O73">
        <f>IF(Source!BI35=1,(IF(Source!BC35&lt;&gt;0,Source!O35/Source!BC35,Source!O35)),0)</f>
        <v>209401.29059829062</v>
      </c>
      <c r="P73">
        <f>IF(Source!BI35=2,(IF(Source!BC35&lt;&gt;0,Source!O35/Source!BC35,Source!O35)),0)</f>
        <v>0</v>
      </c>
      <c r="Q73">
        <f>IF(Source!BI35=3,(IF(Source!BC35&lt;&gt;0,Source!O35/Source!BC35,Source!O35)),0)</f>
        <v>0</v>
      </c>
      <c r="R73">
        <f>IF(Source!BI35=4,(IF(Source!BC35&lt;&gt;0,Source!O35/Source!BC35,Source!O35)),0)</f>
        <v>0</v>
      </c>
      <c r="S73">
        <f>IF(Source!BI35=1,Source!O35+Source!X35+Source!Y35,0)</f>
        <v>489999.02</v>
      </c>
      <c r="T73">
        <f>IF(Source!BI35=2,Source!O35+Source!X35+Source!Y35,0)</f>
        <v>0</v>
      </c>
      <c r="U73">
        <f>IF(Source!BI35=3,Source!O35+Source!X35+Source!Y35,0)</f>
        <v>0</v>
      </c>
      <c r="V73">
        <f>IF(Source!BI35=4,Source!O35+Source!X35+Source!Y35,0)</f>
        <v>0</v>
      </c>
      <c r="W73">
        <f>IF(Source!BS35&lt;&gt;0,Source!R35/Source!BS35,Source!R35)</f>
        <v>0</v>
      </c>
    </row>
    <row r="74" spans="1:23" ht="15.75">
      <c r="A74" s="7"/>
      <c r="B74" s="7"/>
      <c r="C74" s="7"/>
      <c r="D74" s="7"/>
      <c r="E74" s="7"/>
      <c r="F74" s="7"/>
      <c r="G74" s="7"/>
      <c r="H74" s="28">
        <f>IF(Source!BA33&lt;&gt;0,Source!S33/Source!BA33,Source!S33)+IF(Source!BB33&lt;&gt;0,Source!Q33/Source!BB33,Source!Q33)+H69+H70+H72+H73</f>
        <v>270181.2960491511</v>
      </c>
      <c r="I74" s="29"/>
      <c r="J74" s="29"/>
      <c r="K74" s="28">
        <f>Source!S33+Source!Q33+K69+K70+K72+K73</f>
        <v>949143.79</v>
      </c>
      <c r="L74" s="29">
        <f>Source!U33</f>
        <v>859.41</v>
      </c>
      <c r="M74" s="24">
        <f>H74</f>
        <v>270181.2960491511</v>
      </c>
      <c r="N74">
        <f>IF(Source!BA33&lt;&gt;0,Source!S33/Source!BA33,Source!S33)</f>
        <v>11504.090745732254</v>
      </c>
      <c r="O74">
        <f>IF(Source!BI33=1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37212.00545086046</v>
      </c>
      <c r="P74">
        <f>IF(Source!BI33=2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Q74">
        <f>IF(Source!BI33=3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R74">
        <f>IF(Source!BI33=4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S74">
        <f>IF(Source!BI33=1,Source!O33+Source!X33+Source!Y33,0)</f>
        <v>403995.65</v>
      </c>
      <c r="T74">
        <f>IF(Source!BI33=2,Source!O33+Source!X33+Source!Y33,0)</f>
        <v>0</v>
      </c>
      <c r="U74">
        <f>IF(Source!BI33=3,Source!O33+Source!X33+Source!Y33,0)</f>
        <v>0</v>
      </c>
      <c r="V74">
        <f>IF(Source!BI33=4,Source!O33+Source!X33+Source!Y33,0)</f>
        <v>0</v>
      </c>
      <c r="W74">
        <f>IF(Source!BS33&lt;&gt;0,Source!R33/Source!BS33,Source!R33)</f>
        <v>890.9092542677447</v>
      </c>
    </row>
    <row r="76" spans="3:23" s="29" customFormat="1" ht="15.75">
      <c r="C76" s="29" t="s">
        <v>104</v>
      </c>
      <c r="G76" s="51">
        <f>SUM(M19:M75)</f>
        <v>496634.42870383256</v>
      </c>
      <c r="H76" s="51"/>
      <c r="J76" s="51">
        <f>ROUND(Source!AB22+Source!AK22+Source!AL22+Source!AE22*0/100,2)</f>
        <v>2344943.77</v>
      </c>
      <c r="K76" s="51"/>
      <c r="L76" s="29">
        <f>Source!AH22</f>
        <v>2823.29</v>
      </c>
      <c r="N76" s="28">
        <f aca="true" t="shared" si="0" ref="N76:W76">SUM(N19:N75)</f>
        <v>31802.7619047619</v>
      </c>
      <c r="O76" s="28">
        <f t="shared" si="0"/>
        <v>496634.42870383256</v>
      </c>
      <c r="P76" s="28">
        <f t="shared" si="0"/>
        <v>0</v>
      </c>
      <c r="Q76" s="28">
        <f t="shared" si="0"/>
        <v>0</v>
      </c>
      <c r="R76" s="28">
        <f t="shared" si="0"/>
        <v>0</v>
      </c>
      <c r="S76" s="28">
        <f t="shared" si="0"/>
        <v>2344943.77</v>
      </c>
      <c r="T76" s="28">
        <f t="shared" si="0"/>
        <v>0</v>
      </c>
      <c r="U76" s="28">
        <f t="shared" si="0"/>
        <v>0</v>
      </c>
      <c r="V76" s="28">
        <f t="shared" si="0"/>
        <v>0</v>
      </c>
      <c r="W76" s="29">
        <f t="shared" si="0"/>
        <v>3850.899371069182</v>
      </c>
    </row>
    <row r="79" spans="3:23" s="38" customFormat="1" ht="18" hidden="1">
      <c r="C79" s="38" t="s">
        <v>259</v>
      </c>
      <c r="G79" s="52">
        <f>G76</f>
        <v>496634.42870383256</v>
      </c>
      <c r="H79" s="52"/>
      <c r="J79" s="52">
        <f>ROUND(Source!O37+Source!X37+Source!Y37+Source!R37*0/100,2)</f>
        <v>2344943.77</v>
      </c>
      <c r="K79" s="52"/>
      <c r="L79" s="38">
        <f>Source!U37</f>
        <v>2823.29</v>
      </c>
      <c r="N79" s="39">
        <f aca="true" t="shared" si="1" ref="N79:W79">N76</f>
        <v>31802.7619047619</v>
      </c>
      <c r="O79" s="39">
        <f t="shared" si="1"/>
        <v>496634.42870383256</v>
      </c>
      <c r="P79" s="39">
        <f t="shared" si="1"/>
        <v>0</v>
      </c>
      <c r="Q79" s="39">
        <f t="shared" si="1"/>
        <v>0</v>
      </c>
      <c r="R79" s="39">
        <f t="shared" si="1"/>
        <v>0</v>
      </c>
      <c r="S79" s="39">
        <f t="shared" si="1"/>
        <v>2344943.77</v>
      </c>
      <c r="T79" s="39">
        <f t="shared" si="1"/>
        <v>0</v>
      </c>
      <c r="U79" s="39">
        <f t="shared" si="1"/>
        <v>0</v>
      </c>
      <c r="V79" s="39">
        <f t="shared" si="1"/>
        <v>0</v>
      </c>
      <c r="W79" s="38">
        <f t="shared" si="1"/>
        <v>3850.899371069182</v>
      </c>
    </row>
    <row r="81" spans="3:11" ht="18">
      <c r="C81" s="38" t="s">
        <v>260</v>
      </c>
      <c r="D81" s="56" t="str">
        <f>Source!G60</f>
        <v>Устройство полимерных полов</v>
      </c>
      <c r="E81" s="56"/>
      <c r="F81" s="56"/>
      <c r="G81" s="56"/>
      <c r="H81" s="56"/>
      <c r="I81" s="56"/>
      <c r="J81" s="56"/>
      <c r="K81" s="56"/>
    </row>
    <row r="82" spans="3:12" ht="18">
      <c r="C82" s="53" t="str">
        <f>Source!H73</f>
        <v>Итого по акту</v>
      </c>
      <c r="D82" s="53"/>
      <c r="E82" s="53"/>
      <c r="F82" s="53"/>
      <c r="G82" s="53"/>
      <c r="H82" s="53"/>
      <c r="I82" s="53"/>
      <c r="J82" s="54">
        <f>Source!F73</f>
        <v>2344943.77</v>
      </c>
      <c r="K82" s="55"/>
      <c r="L82" s="40"/>
    </row>
    <row r="83" spans="3:12" ht="18">
      <c r="C83" s="53" t="str">
        <f>Source!H74</f>
        <v>Среднегодовое зимние удорожание 1,8%</v>
      </c>
      <c r="D83" s="53"/>
      <c r="E83" s="53"/>
      <c r="F83" s="53"/>
      <c r="G83" s="53"/>
      <c r="H83" s="53"/>
      <c r="I83" s="53"/>
      <c r="J83" s="54">
        <f>Source!F74</f>
        <v>42208.99</v>
      </c>
      <c r="K83" s="55"/>
      <c r="L83" s="40"/>
    </row>
    <row r="84" spans="3:12" ht="18">
      <c r="C84" s="53" t="str">
        <f>Source!H75</f>
        <v>Итого</v>
      </c>
      <c r="D84" s="53"/>
      <c r="E84" s="53"/>
      <c r="F84" s="53"/>
      <c r="G84" s="53"/>
      <c r="H84" s="53"/>
      <c r="I84" s="53"/>
      <c r="J84" s="54">
        <f>Source!F75</f>
        <v>2387152.76</v>
      </c>
      <c r="K84" s="55"/>
      <c r="L84" s="40"/>
    </row>
    <row r="85" spans="3:12" ht="18">
      <c r="C85" s="53" t="str">
        <f>Source!H76</f>
        <v>Конкурсное сниженеие 3%</v>
      </c>
      <c r="D85" s="53"/>
      <c r="E85" s="53"/>
      <c r="F85" s="53"/>
      <c r="G85" s="53"/>
      <c r="H85" s="53"/>
      <c r="I85" s="53"/>
      <c r="J85" s="54">
        <f>Source!F76</f>
        <v>71614.58</v>
      </c>
      <c r="K85" s="55"/>
      <c r="L85" s="40"/>
    </row>
    <row r="86" spans="3:12" ht="18">
      <c r="C86" s="53" t="str">
        <f>Source!H77</f>
        <v>Итого с конкурсным снижением</v>
      </c>
      <c r="D86" s="53"/>
      <c r="E86" s="53"/>
      <c r="F86" s="53"/>
      <c r="G86" s="53"/>
      <c r="H86" s="53"/>
      <c r="I86" s="53"/>
      <c r="J86" s="54">
        <f>Source!F77</f>
        <v>2315538.18</v>
      </c>
      <c r="K86" s="55"/>
      <c r="L86" s="40"/>
    </row>
    <row r="87" spans="3:12" ht="18">
      <c r="C87" s="53" t="str">
        <f>Source!H78</f>
        <v>Разница стоимости материалов</v>
      </c>
      <c r="D87" s="53"/>
      <c r="E87" s="53"/>
      <c r="F87" s="53"/>
      <c r="G87" s="53"/>
      <c r="H87" s="53"/>
      <c r="I87" s="53"/>
      <c r="J87" s="54">
        <f>Source!F78</f>
        <v>0</v>
      </c>
      <c r="K87" s="55"/>
      <c r="L87" s="40"/>
    </row>
    <row r="88" spans="3:12" ht="18">
      <c r="C88" s="53" t="str">
        <f>Source!H79</f>
        <v>Итого  с учетом разницы материалов</v>
      </c>
      <c r="D88" s="53"/>
      <c r="E88" s="53"/>
      <c r="F88" s="53"/>
      <c r="G88" s="53"/>
      <c r="H88" s="53"/>
      <c r="I88" s="53"/>
      <c r="J88" s="54">
        <f>Source!F79</f>
        <v>2315538.18</v>
      </c>
      <c r="K88" s="55"/>
      <c r="L88" s="40"/>
    </row>
    <row r="89" spans="3:12" ht="18">
      <c r="C89" s="53" t="str">
        <f>Source!H80</f>
        <v>НДС 18%</v>
      </c>
      <c r="D89" s="53"/>
      <c r="E89" s="53"/>
      <c r="F89" s="53"/>
      <c r="G89" s="53"/>
      <c r="H89" s="53"/>
      <c r="I89" s="53"/>
      <c r="J89" s="54">
        <f>Source!F80</f>
        <v>416796.87</v>
      </c>
      <c r="K89" s="55"/>
      <c r="L89" s="40"/>
    </row>
    <row r="90" spans="3:12" ht="18">
      <c r="C90" s="53" t="str">
        <f>Source!H81</f>
        <v>Всего по акту</v>
      </c>
      <c r="D90" s="53"/>
      <c r="E90" s="53"/>
      <c r="F90" s="53"/>
      <c r="G90" s="53"/>
      <c r="H90" s="53"/>
      <c r="I90" s="53"/>
      <c r="J90" s="54">
        <f>Source!F81</f>
        <v>2732335.05</v>
      </c>
      <c r="K90" s="55"/>
      <c r="L90" s="40"/>
    </row>
    <row r="94" spans="1:8" s="5" customFormat="1" ht="12.75">
      <c r="A94" s="5" t="s">
        <v>261</v>
      </c>
      <c r="C94" s="41" t="str">
        <f>IF(Source!AO12&lt;&gt;"",Source!AO12," ")</f>
        <v> </v>
      </c>
      <c r="D94" s="41"/>
      <c r="E94" s="41"/>
      <c r="F94" s="41"/>
      <c r="G94" s="41"/>
      <c r="H94" s="5" t="str">
        <f>IF(Source!R12&lt;&gt;"",Source!R12," ")</f>
        <v> </v>
      </c>
    </row>
    <row r="95" spans="3:7" s="6" customFormat="1" ht="11.25">
      <c r="C95" s="57" t="s">
        <v>262</v>
      </c>
      <c r="D95" s="57"/>
      <c r="E95" s="57"/>
      <c r="F95" s="57"/>
      <c r="G95" s="57"/>
    </row>
    <row r="97" spans="1:8" s="5" customFormat="1" ht="12.75">
      <c r="A97" s="5" t="s">
        <v>263</v>
      </c>
      <c r="C97" s="41" t="str">
        <f>IF(Source!AP12&lt;&gt;"",Source!AP12," ")</f>
        <v> </v>
      </c>
      <c r="D97" s="41"/>
      <c r="E97" s="41"/>
      <c r="F97" s="41"/>
      <c r="G97" s="41"/>
      <c r="H97" s="5" t="str">
        <f>IF(Source!S12&lt;&gt;"",Source!S12," ")</f>
        <v> </v>
      </c>
    </row>
    <row r="98" spans="3:7" s="6" customFormat="1" ht="11.25">
      <c r="C98" s="57" t="s">
        <v>262</v>
      </c>
      <c r="D98" s="57"/>
      <c r="E98" s="57"/>
      <c r="F98" s="57"/>
      <c r="G98" s="57"/>
    </row>
  </sheetData>
  <sheetProtection/>
  <mergeCells count="42">
    <mergeCell ref="C95:G95"/>
    <mergeCell ref="C98:G98"/>
    <mergeCell ref="C89:I89"/>
    <mergeCell ref="J89:K89"/>
    <mergeCell ref="C90:I90"/>
    <mergeCell ref="J90:K90"/>
    <mergeCell ref="C87:I87"/>
    <mergeCell ref="J87:K87"/>
    <mergeCell ref="C88:I88"/>
    <mergeCell ref="J88:K88"/>
    <mergeCell ref="C85:I85"/>
    <mergeCell ref="J85:K85"/>
    <mergeCell ref="C86:I86"/>
    <mergeCell ref="J86:K86"/>
    <mergeCell ref="K10:L10"/>
    <mergeCell ref="C83:I83"/>
    <mergeCell ref="J83:K83"/>
    <mergeCell ref="C84:I84"/>
    <mergeCell ref="J84:K84"/>
    <mergeCell ref="D81:K81"/>
    <mergeCell ref="C82:I82"/>
    <mergeCell ref="J82:K82"/>
    <mergeCell ref="I8:J8"/>
    <mergeCell ref="K8:L8"/>
    <mergeCell ref="A12:C12"/>
    <mergeCell ref="J76:K76"/>
    <mergeCell ref="G76:H76"/>
    <mergeCell ref="J79:K79"/>
    <mergeCell ref="G79:H79"/>
    <mergeCell ref="C10:F10"/>
    <mergeCell ref="G10:H10"/>
    <mergeCell ref="I10:J10"/>
    <mergeCell ref="A3:L3"/>
    <mergeCell ref="B5:L5"/>
    <mergeCell ref="C9:F9"/>
    <mergeCell ref="G9:H9"/>
    <mergeCell ref="I9:J9"/>
    <mergeCell ref="K9:L9"/>
    <mergeCell ref="G7:H7"/>
    <mergeCell ref="I7:J7"/>
    <mergeCell ref="C8:F8"/>
    <mergeCell ref="G8:H8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paperSize="9" scale="60" r:id="rId1"/>
  <headerFooter alignWithMargins="0">
    <oddHeader>&amp;L&amp;8ЗАО "ВестСтрой"  Доп. раб. место  FStS-0022186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8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22186</v>
      </c>
    </row>
    <row r="12" spans="1:103" ht="12.75">
      <c r="A12" s="1">
        <v>1</v>
      </c>
      <c r="B12" s="1">
        <v>1</v>
      </c>
      <c r="C12" s="1">
        <v>0</v>
      </c>
      <c r="D12" s="1">
        <f>ROW(A60)</f>
        <v>60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7</v>
      </c>
      <c r="P12" s="1">
        <v>2008</v>
      </c>
      <c r="Q12" s="1">
        <v>2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9791867</v>
      </c>
      <c r="BE12" s="1" t="s">
        <v>8</v>
      </c>
      <c r="BF12" s="1" t="s">
        <v>9</v>
      </c>
      <c r="BG12" s="1">
        <v>5849337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5708929</v>
      </c>
      <c r="CB12" s="1">
        <v>5708918</v>
      </c>
      <c r="CC12" s="1">
        <v>5708923</v>
      </c>
      <c r="CD12" s="1">
        <v>5708926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6072200</v>
      </c>
      <c r="CL12" s="1" t="s">
        <v>10</v>
      </c>
      <c r="CM12" s="1" t="s">
        <v>11</v>
      </c>
      <c r="CN12" s="1" t="s">
        <v>12</v>
      </c>
      <c r="CO12" s="1" t="s">
        <v>12</v>
      </c>
      <c r="CP12" s="1" t="s">
        <v>12</v>
      </c>
      <c r="CQ12" s="1" t="s">
        <v>12</v>
      </c>
      <c r="CR12" s="1" t="s">
        <v>13</v>
      </c>
      <c r="CS12" s="1">
        <v>3395381</v>
      </c>
      <c r="CT12" s="1">
        <v>0</v>
      </c>
      <c r="CU12" s="1">
        <v>0</v>
      </c>
      <c r="CV12" s="1">
        <v>9745838</v>
      </c>
      <c r="CW12" s="1">
        <v>9745841</v>
      </c>
      <c r="CX12" s="1">
        <v>9745842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3">
        <v>52</v>
      </c>
      <c r="B18" s="3">
        <f aca="true" t="shared" si="0" ref="B18:AM18">B60</f>
        <v>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Устройство полимерных полов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1614912.78</v>
      </c>
      <c r="P18" s="3">
        <f t="shared" si="0"/>
        <v>1119267.6</v>
      </c>
      <c r="Q18" s="3">
        <f t="shared" si="0"/>
        <v>141680.44</v>
      </c>
      <c r="R18" s="3">
        <f t="shared" si="0"/>
        <v>42860.51</v>
      </c>
      <c r="S18" s="3">
        <f t="shared" si="0"/>
        <v>353964.74</v>
      </c>
      <c r="T18" s="3">
        <f t="shared" si="0"/>
        <v>0</v>
      </c>
      <c r="U18" s="3">
        <f t="shared" si="0"/>
        <v>2823.29</v>
      </c>
      <c r="V18" s="3">
        <f t="shared" si="0"/>
        <v>354.65</v>
      </c>
      <c r="W18" s="3">
        <f t="shared" si="0"/>
        <v>0</v>
      </c>
      <c r="X18" s="3">
        <f t="shared" si="0"/>
        <v>435784.77</v>
      </c>
      <c r="Y18" s="3">
        <f t="shared" si="0"/>
        <v>294246.22</v>
      </c>
      <c r="Z18" s="3">
        <f t="shared" si="0"/>
        <v>0</v>
      </c>
      <c r="AA18" s="3">
        <f t="shared" si="0"/>
        <v>0</v>
      </c>
      <c r="AB18" s="3">
        <f t="shared" si="0"/>
        <v>0</v>
      </c>
      <c r="AC18" s="3">
        <f t="shared" si="0"/>
        <v>0</v>
      </c>
      <c r="AD18" s="3">
        <f t="shared" si="0"/>
        <v>0</v>
      </c>
      <c r="AE18" s="3">
        <f t="shared" si="0"/>
        <v>0</v>
      </c>
      <c r="AF18" s="3">
        <f t="shared" si="0"/>
        <v>0</v>
      </c>
      <c r="AG18" s="3">
        <f t="shared" si="0"/>
        <v>0</v>
      </c>
      <c r="AH18" s="3">
        <f t="shared" si="0"/>
        <v>0</v>
      </c>
      <c r="AI18" s="3">
        <f t="shared" si="0"/>
        <v>0</v>
      </c>
      <c r="AJ18" s="3">
        <f t="shared" si="0"/>
        <v>0</v>
      </c>
      <c r="AK18" s="3">
        <f t="shared" si="0"/>
        <v>0</v>
      </c>
      <c r="AL18" s="3">
        <f t="shared" si="0"/>
        <v>0</v>
      </c>
      <c r="AM18" s="3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ROW(A37)</f>
        <v>37</v>
      </c>
      <c r="E20" s="1"/>
      <c r="F20" s="1" t="s">
        <v>14</v>
      </c>
      <c r="G20" s="1" t="s">
        <v>5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15</v>
      </c>
      <c r="BF20">
        <v>0</v>
      </c>
      <c r="BG20">
        <v>0</v>
      </c>
    </row>
    <row r="22" spans="1:39" ht="12.75">
      <c r="A22" s="3">
        <v>52</v>
      </c>
      <c r="B22" s="3">
        <f aca="true" t="shared" si="1" ref="B22:AM22">B37</f>
        <v>1</v>
      </c>
      <c r="C22" s="3">
        <f t="shared" si="1"/>
        <v>3</v>
      </c>
      <c r="D22" s="3">
        <f t="shared" si="1"/>
        <v>20</v>
      </c>
      <c r="E22" s="3">
        <f t="shared" si="1"/>
        <v>0</v>
      </c>
      <c r="F22" s="3" t="str">
        <f t="shared" si="1"/>
        <v>Новая локальная смета</v>
      </c>
      <c r="G22" s="3" t="str">
        <f t="shared" si="1"/>
        <v>Устройство полимерных полов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1614912.78</v>
      </c>
      <c r="P22" s="3">
        <f t="shared" si="1"/>
        <v>1119267.6</v>
      </c>
      <c r="Q22" s="3">
        <f t="shared" si="1"/>
        <v>141680.44</v>
      </c>
      <c r="R22" s="3">
        <f t="shared" si="1"/>
        <v>42860.51</v>
      </c>
      <c r="S22" s="3">
        <f t="shared" si="1"/>
        <v>353964.74</v>
      </c>
      <c r="T22" s="3">
        <f t="shared" si="1"/>
        <v>0</v>
      </c>
      <c r="U22" s="3">
        <f t="shared" si="1"/>
        <v>2823.29</v>
      </c>
      <c r="V22" s="3">
        <f t="shared" si="1"/>
        <v>354.65</v>
      </c>
      <c r="W22" s="3">
        <f t="shared" si="1"/>
        <v>0</v>
      </c>
      <c r="X22" s="3">
        <f t="shared" si="1"/>
        <v>435784.77</v>
      </c>
      <c r="Y22" s="3">
        <f t="shared" si="1"/>
        <v>294246.22</v>
      </c>
      <c r="Z22" s="3">
        <f t="shared" si="1"/>
        <v>0</v>
      </c>
      <c r="AA22" s="3">
        <f t="shared" si="1"/>
        <v>0</v>
      </c>
      <c r="AB22" s="3">
        <f t="shared" si="1"/>
        <v>1614912.78</v>
      </c>
      <c r="AC22" s="3">
        <f t="shared" si="1"/>
        <v>1119267.6</v>
      </c>
      <c r="AD22" s="3">
        <f t="shared" si="1"/>
        <v>141680.44</v>
      </c>
      <c r="AE22" s="3">
        <f t="shared" si="1"/>
        <v>42860.51</v>
      </c>
      <c r="AF22" s="3">
        <f t="shared" si="1"/>
        <v>353964.74</v>
      </c>
      <c r="AG22" s="3">
        <f t="shared" si="1"/>
        <v>0</v>
      </c>
      <c r="AH22" s="3">
        <f t="shared" si="1"/>
        <v>2823.29</v>
      </c>
      <c r="AI22" s="3">
        <f t="shared" si="1"/>
        <v>354.65</v>
      </c>
      <c r="AJ22" s="3">
        <f t="shared" si="1"/>
        <v>0</v>
      </c>
      <c r="AK22" s="3">
        <f t="shared" si="1"/>
        <v>435784.77</v>
      </c>
      <c r="AL22" s="3">
        <f t="shared" si="1"/>
        <v>294246.22</v>
      </c>
      <c r="AM22" s="3">
        <f t="shared" si="1"/>
        <v>0</v>
      </c>
    </row>
    <row r="24" spans="1:144" ht="409.5">
      <c r="A24">
        <v>17</v>
      </c>
      <c r="B24">
        <v>1</v>
      </c>
      <c r="C24">
        <f>ROW(SmtRes!A2)</f>
        <v>2</v>
      </c>
      <c r="E24" t="s">
        <v>16</v>
      </c>
      <c r="F24" t="s">
        <v>17</v>
      </c>
      <c r="G24" t="s">
        <v>18</v>
      </c>
      <c r="H24" t="s">
        <v>19</v>
      </c>
      <c r="I24">
        <v>1066</v>
      </c>
      <c r="J24">
        <v>0</v>
      </c>
      <c r="O24">
        <f aca="true" t="shared" si="2" ref="O24:O35">ROUND(CP24,2)</f>
        <v>13213.02</v>
      </c>
      <c r="P24">
        <f aca="true" t="shared" si="3" ref="P24:P35">ROUND(CQ24*I24,2)</f>
        <v>0</v>
      </c>
      <c r="Q24">
        <f aca="true" t="shared" si="4" ref="Q24:Q35">ROUND(CR24*I24,2)</f>
        <v>1615.39</v>
      </c>
      <c r="R24">
        <f aca="true" t="shared" si="5" ref="R24:R35">ROUND(CS24*I24,2)</f>
        <v>0</v>
      </c>
      <c r="S24">
        <f aca="true" t="shared" si="6" ref="S24:S35">ROUND(CT24*I24,2)</f>
        <v>11597.63</v>
      </c>
      <c r="T24">
        <f aca="true" t="shared" si="7" ref="T24:T35">ROUND(CU24*I24,2)</f>
        <v>0</v>
      </c>
      <c r="U24">
        <f aca="true" t="shared" si="8" ref="U24:U35">ROUND(CV24*I24,2)</f>
        <v>106.6</v>
      </c>
      <c r="V24">
        <f aca="true" t="shared" si="9" ref="V24:V35">ROUND(CW24*I24,2)</f>
        <v>0</v>
      </c>
      <c r="W24">
        <f aca="true" t="shared" si="10" ref="W24:W35">ROUND(CX24*I24,2)</f>
        <v>0</v>
      </c>
      <c r="X24">
        <f aca="true" t="shared" si="11" ref="X24:X35">ROUND(CY24,2)</f>
        <v>9811.59</v>
      </c>
      <c r="Y24">
        <f aca="true" t="shared" si="12" ref="Y24:Y35">ROUND(CZ24,2)</f>
        <v>8118.34</v>
      </c>
      <c r="AA24">
        <v>0</v>
      </c>
      <c r="AB24">
        <f aca="true" t="shared" si="13" ref="AB24:AB35">(AC24+AD24+AF24)</f>
        <v>1.315</v>
      </c>
      <c r="AC24">
        <f>AL24</f>
        <v>0</v>
      </c>
      <c r="AD24">
        <f>(AM24*1.25)</f>
        <v>0.3375</v>
      </c>
      <c r="AE24">
        <f>(AN24*1.25)</f>
        <v>0</v>
      </c>
      <c r="AF24">
        <f>(AO24*1.15)</f>
        <v>0.9774999999999999</v>
      </c>
      <c r="AG24">
        <f aca="true" t="shared" si="14" ref="AG24:AG35">AP24</f>
        <v>0</v>
      </c>
      <c r="AH24">
        <f aca="true" t="shared" si="15" ref="AH24:AH35">AQ24</f>
        <v>0.1</v>
      </c>
      <c r="AI24">
        <f aca="true" t="shared" si="16" ref="AI24:AI35">AR24</f>
        <v>0</v>
      </c>
      <c r="AJ24">
        <f aca="true" t="shared" si="17" ref="AJ24:AJ35">AS24</f>
        <v>0</v>
      </c>
      <c r="AK24">
        <v>1.12</v>
      </c>
      <c r="AL24">
        <v>0</v>
      </c>
      <c r="AM24">
        <v>0.27</v>
      </c>
      <c r="AN24">
        <v>0</v>
      </c>
      <c r="AO24">
        <v>0.85</v>
      </c>
      <c r="AP24">
        <v>0</v>
      </c>
      <c r="AQ24">
        <v>0.1</v>
      </c>
      <c r="AR24">
        <v>0</v>
      </c>
      <c r="AS24">
        <v>0</v>
      </c>
      <c r="AT24">
        <v>84.6</v>
      </c>
      <c r="AU24">
        <v>70</v>
      </c>
      <c r="AV24">
        <v>1</v>
      </c>
      <c r="AW24">
        <v>1</v>
      </c>
      <c r="AX24">
        <v>1</v>
      </c>
      <c r="AY24">
        <v>1</v>
      </c>
      <c r="AZ24">
        <v>10.2</v>
      </c>
      <c r="BA24">
        <v>11.13</v>
      </c>
      <c r="BB24">
        <v>4.49</v>
      </c>
      <c r="BC24">
        <v>1</v>
      </c>
      <c r="BH24">
        <v>0</v>
      </c>
      <c r="BI24">
        <v>1</v>
      </c>
      <c r="BJ24" t="s">
        <v>20</v>
      </c>
      <c r="BM24">
        <v>19</v>
      </c>
      <c r="BN24">
        <v>0</v>
      </c>
      <c r="BO24" t="s">
        <v>17</v>
      </c>
      <c r="BP24">
        <v>1</v>
      </c>
      <c r="BQ24">
        <v>2</v>
      </c>
      <c r="BR24">
        <v>0</v>
      </c>
      <c r="BS24">
        <v>11.13</v>
      </c>
      <c r="BT24">
        <v>1</v>
      </c>
      <c r="BU24">
        <v>1</v>
      </c>
      <c r="BV24">
        <v>1</v>
      </c>
      <c r="BW24">
        <v>1</v>
      </c>
      <c r="BX24">
        <v>1</v>
      </c>
      <c r="CF24">
        <v>0</v>
      </c>
      <c r="CG24">
        <v>0</v>
      </c>
      <c r="CM24">
        <v>0</v>
      </c>
      <c r="CN24" t="s">
        <v>207</v>
      </c>
      <c r="CO24">
        <v>0</v>
      </c>
      <c r="CP24">
        <f aca="true" t="shared" si="18" ref="CP24:CP35">(P24+Q24+S24)</f>
        <v>13213.019999999999</v>
      </c>
      <c r="CQ24">
        <f aca="true" t="shared" si="19" ref="CQ24:CQ35">(AC24)*BC24</f>
        <v>0</v>
      </c>
      <c r="CR24">
        <f aca="true" t="shared" si="20" ref="CR24:CR35">(AD24)*BB24</f>
        <v>1.5153750000000001</v>
      </c>
      <c r="CS24">
        <f aca="true" t="shared" si="21" ref="CS24:CS35">(AE24)*BS24</f>
        <v>0</v>
      </c>
      <c r="CT24">
        <f aca="true" t="shared" si="22" ref="CT24:CT35">(AF24)*BA24</f>
        <v>10.879574999999999</v>
      </c>
      <c r="CU24">
        <f aca="true" t="shared" si="23" ref="CU24:CU35">(AG24)*BT24</f>
        <v>0</v>
      </c>
      <c r="CV24">
        <f aca="true" t="shared" si="24" ref="CV24:CV35">(AH24)*BU24</f>
        <v>0.1</v>
      </c>
      <c r="CW24">
        <f aca="true" t="shared" si="25" ref="CW24:CW35">(AI24)*BV24</f>
        <v>0</v>
      </c>
      <c r="CX24">
        <f aca="true" t="shared" si="26" ref="CX24:CX35">(AJ24)*BW24</f>
        <v>0</v>
      </c>
      <c r="CY24">
        <f aca="true" t="shared" si="27" ref="CY24:CY35">(((S24+R24)*AT24)/100)</f>
        <v>9811.59498</v>
      </c>
      <c r="CZ24">
        <f aca="true" t="shared" si="28" ref="CZ24:CZ35">(((S24+R24)*AU24)/100)</f>
        <v>8118.340999999999</v>
      </c>
      <c r="DE24" t="s">
        <v>21</v>
      </c>
      <c r="DF24" t="s">
        <v>21</v>
      </c>
      <c r="DG24" t="s">
        <v>22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19</v>
      </c>
      <c r="DW24" t="s">
        <v>23</v>
      </c>
      <c r="DX24">
        <v>1</v>
      </c>
      <c r="EE24">
        <v>5849366</v>
      </c>
      <c r="EF24">
        <v>2</v>
      </c>
      <c r="EG24" t="s">
        <v>24</v>
      </c>
      <c r="EH24">
        <v>0</v>
      </c>
      <c r="EJ24">
        <v>1</v>
      </c>
      <c r="EK24">
        <v>19</v>
      </c>
      <c r="EL24" t="s">
        <v>25</v>
      </c>
      <c r="EM24" t="s">
        <v>26</v>
      </c>
      <c r="EN24" s="2" t="s">
        <v>208</v>
      </c>
    </row>
    <row r="25" spans="1:144" ht="409.5">
      <c r="A25">
        <v>17</v>
      </c>
      <c r="B25">
        <v>1</v>
      </c>
      <c r="C25">
        <f>ROW(SmtRes!A15)</f>
        <v>15</v>
      </c>
      <c r="E25" t="s">
        <v>27</v>
      </c>
      <c r="F25" t="s">
        <v>28</v>
      </c>
      <c r="G25" t="s">
        <v>29</v>
      </c>
      <c r="H25" t="s">
        <v>30</v>
      </c>
      <c r="I25">
        <v>10.66</v>
      </c>
      <c r="J25">
        <v>0</v>
      </c>
      <c r="O25">
        <f t="shared" si="2"/>
        <v>49623.5</v>
      </c>
      <c r="P25">
        <f t="shared" si="3"/>
        <v>0</v>
      </c>
      <c r="Q25">
        <f t="shared" si="4"/>
        <v>9366.09</v>
      </c>
      <c r="R25">
        <f t="shared" si="5"/>
        <v>360.39</v>
      </c>
      <c r="S25">
        <f t="shared" si="6"/>
        <v>40257.41</v>
      </c>
      <c r="T25">
        <f t="shared" si="7"/>
        <v>0</v>
      </c>
      <c r="U25">
        <f t="shared" si="8"/>
        <v>287.5</v>
      </c>
      <c r="V25">
        <f t="shared" si="9"/>
        <v>5.73</v>
      </c>
      <c r="W25">
        <f t="shared" si="10"/>
        <v>0</v>
      </c>
      <c r="X25">
        <f t="shared" si="11"/>
        <v>46962.3</v>
      </c>
      <c r="Y25">
        <f t="shared" si="12"/>
        <v>30463.35</v>
      </c>
      <c r="AA25">
        <v>0</v>
      </c>
      <c r="AB25">
        <f t="shared" si="13"/>
        <v>536.3075</v>
      </c>
      <c r="AC25">
        <f>(AL25*0)</f>
        <v>0</v>
      </c>
      <c r="AD25">
        <f>(AM25*1.25)</f>
        <v>197</v>
      </c>
      <c r="AE25">
        <f>(AN25*1.25)</f>
        <v>3.0375</v>
      </c>
      <c r="AF25">
        <f>(AO25*1.15)</f>
        <v>339.3075</v>
      </c>
      <c r="AG25">
        <f t="shared" si="14"/>
        <v>0</v>
      </c>
      <c r="AH25">
        <f t="shared" si="15"/>
        <v>26.97</v>
      </c>
      <c r="AI25">
        <f t="shared" si="16"/>
        <v>0.5375</v>
      </c>
      <c r="AJ25">
        <f t="shared" si="17"/>
        <v>0</v>
      </c>
      <c r="AK25">
        <v>1145.27</v>
      </c>
      <c r="AL25">
        <v>692.62</v>
      </c>
      <c r="AM25">
        <v>157.6</v>
      </c>
      <c r="AN25">
        <v>2.43</v>
      </c>
      <c r="AO25">
        <v>295.05</v>
      </c>
      <c r="AP25">
        <v>0</v>
      </c>
      <c r="AQ25">
        <v>26.97</v>
      </c>
      <c r="AR25">
        <v>0.5375</v>
      </c>
      <c r="AS25">
        <v>0</v>
      </c>
      <c r="AT25">
        <v>115.62</v>
      </c>
      <c r="AU25">
        <v>75</v>
      </c>
      <c r="AV25">
        <v>1</v>
      </c>
      <c r="AW25">
        <v>1</v>
      </c>
      <c r="AX25">
        <v>1</v>
      </c>
      <c r="AY25">
        <v>1</v>
      </c>
      <c r="AZ25">
        <v>7.6</v>
      </c>
      <c r="BA25">
        <v>11.13</v>
      </c>
      <c r="BB25">
        <v>4.46</v>
      </c>
      <c r="BC25">
        <v>4.15</v>
      </c>
      <c r="BH25">
        <v>0</v>
      </c>
      <c r="BI25">
        <v>1</v>
      </c>
      <c r="BJ25" t="s">
        <v>31</v>
      </c>
      <c r="BM25">
        <v>17</v>
      </c>
      <c r="BN25">
        <v>0</v>
      </c>
      <c r="BO25" t="s">
        <v>28</v>
      </c>
      <c r="BP25">
        <v>1</v>
      </c>
      <c r="BQ25">
        <v>2</v>
      </c>
      <c r="BR25">
        <v>0</v>
      </c>
      <c r="BS25">
        <v>11.13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N25" t="s">
        <v>207</v>
      </c>
      <c r="CO25">
        <v>0</v>
      </c>
      <c r="CP25">
        <f t="shared" si="18"/>
        <v>49623.5</v>
      </c>
      <c r="CQ25">
        <f t="shared" si="19"/>
        <v>0</v>
      </c>
      <c r="CR25">
        <f t="shared" si="20"/>
        <v>878.62</v>
      </c>
      <c r="CS25">
        <f t="shared" si="21"/>
        <v>33.807375</v>
      </c>
      <c r="CT25">
        <f t="shared" si="22"/>
        <v>3776.4924750000005</v>
      </c>
      <c r="CU25">
        <f t="shared" si="23"/>
        <v>0</v>
      </c>
      <c r="CV25">
        <f t="shared" si="24"/>
        <v>26.97</v>
      </c>
      <c r="CW25">
        <f t="shared" si="25"/>
        <v>0.5375</v>
      </c>
      <c r="CX25">
        <f t="shared" si="26"/>
        <v>0</v>
      </c>
      <c r="CY25">
        <f t="shared" si="27"/>
        <v>46962.30036</v>
      </c>
      <c r="CZ25">
        <f t="shared" si="28"/>
        <v>30463.35</v>
      </c>
      <c r="DD25" t="s">
        <v>32</v>
      </c>
      <c r="DE25" t="s">
        <v>21</v>
      </c>
      <c r="DF25" t="s">
        <v>21</v>
      </c>
      <c r="DG25" t="s">
        <v>22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30</v>
      </c>
      <c r="DW25" t="s">
        <v>33</v>
      </c>
      <c r="DX25">
        <v>100</v>
      </c>
      <c r="EE25">
        <v>5849364</v>
      </c>
      <c r="EF25">
        <v>2</v>
      </c>
      <c r="EG25" t="s">
        <v>24</v>
      </c>
      <c r="EH25">
        <v>0</v>
      </c>
      <c r="EJ25">
        <v>1</v>
      </c>
      <c r="EK25">
        <v>17</v>
      </c>
      <c r="EL25" t="s">
        <v>34</v>
      </c>
      <c r="EM25" t="s">
        <v>35</v>
      </c>
      <c r="EN25" s="2" t="s">
        <v>208</v>
      </c>
    </row>
    <row r="26" spans="1:144" ht="12.75">
      <c r="A26">
        <v>18</v>
      </c>
      <c r="B26">
        <v>1</v>
      </c>
      <c r="E26" t="s">
        <v>36</v>
      </c>
      <c r="F26" t="s">
        <v>37</v>
      </c>
      <c r="G26" t="s">
        <v>38</v>
      </c>
      <c r="H26" t="s">
        <v>39</v>
      </c>
      <c r="I26">
        <v>1279.2</v>
      </c>
      <c r="J26">
        <v>0</v>
      </c>
      <c r="O26">
        <f t="shared" si="2"/>
        <v>412696.78</v>
      </c>
      <c r="P26">
        <f t="shared" si="3"/>
        <v>412696.78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77.74</v>
      </c>
      <c r="AC26">
        <f>AL26</f>
        <v>77.74</v>
      </c>
      <c r="AD26">
        <f>AM26</f>
        <v>0</v>
      </c>
      <c r="AE26">
        <f>AN26</f>
        <v>0</v>
      </c>
      <c r="AF26">
        <f>AO26</f>
        <v>0</v>
      </c>
      <c r="AG26">
        <f t="shared" si="14"/>
        <v>0</v>
      </c>
      <c r="AH26">
        <f t="shared" si="15"/>
        <v>0</v>
      </c>
      <c r="AI26">
        <f t="shared" si="16"/>
        <v>0</v>
      </c>
      <c r="AJ26">
        <f t="shared" si="17"/>
        <v>0</v>
      </c>
      <c r="AK26">
        <v>0</v>
      </c>
      <c r="AL26">
        <v>77.74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115.62</v>
      </c>
      <c r="AU26">
        <v>75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4.15</v>
      </c>
      <c r="BH26">
        <v>3</v>
      </c>
      <c r="BI26">
        <v>1</v>
      </c>
      <c r="BJ26" t="s">
        <v>40</v>
      </c>
      <c r="BM26">
        <v>17</v>
      </c>
      <c r="BN26">
        <v>0</v>
      </c>
      <c r="BO26" t="s">
        <v>37</v>
      </c>
      <c r="BP26">
        <v>1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8"/>
        <v>412696.78</v>
      </c>
      <c r="CQ26">
        <f t="shared" si="19"/>
        <v>322.621</v>
      </c>
      <c r="CR26">
        <f t="shared" si="20"/>
        <v>0</v>
      </c>
      <c r="CS26">
        <f t="shared" si="21"/>
        <v>0</v>
      </c>
      <c r="CT26">
        <f t="shared" si="22"/>
        <v>0</v>
      </c>
      <c r="CU26">
        <f t="shared" si="23"/>
        <v>0</v>
      </c>
      <c r="CV26">
        <f t="shared" si="24"/>
        <v>0</v>
      </c>
      <c r="CW26">
        <f t="shared" si="25"/>
        <v>0</v>
      </c>
      <c r="CX26">
        <f t="shared" si="26"/>
        <v>0</v>
      </c>
      <c r="CY26">
        <f t="shared" si="27"/>
        <v>0</v>
      </c>
      <c r="CZ26">
        <f t="shared" si="28"/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1009</v>
      </c>
      <c r="DV26" t="s">
        <v>39</v>
      </c>
      <c r="DW26" t="s">
        <v>39</v>
      </c>
      <c r="DX26">
        <v>1</v>
      </c>
      <c r="EE26">
        <v>5849364</v>
      </c>
      <c r="EF26">
        <v>2</v>
      </c>
      <c r="EG26" t="s">
        <v>24</v>
      </c>
      <c r="EH26">
        <v>0</v>
      </c>
      <c r="EJ26">
        <v>1</v>
      </c>
      <c r="EK26">
        <v>17</v>
      </c>
      <c r="EL26" t="s">
        <v>34</v>
      </c>
      <c r="EM26" t="s">
        <v>35</v>
      </c>
    </row>
    <row r="27" spans="1:144" ht="409.5">
      <c r="A27">
        <v>17</v>
      </c>
      <c r="B27">
        <v>1</v>
      </c>
      <c r="C27">
        <f>ROW(SmtRes!A28)</f>
        <v>28</v>
      </c>
      <c r="E27" t="s">
        <v>41</v>
      </c>
      <c r="F27" t="s">
        <v>42</v>
      </c>
      <c r="G27" t="s">
        <v>43</v>
      </c>
      <c r="H27" t="s">
        <v>30</v>
      </c>
      <c r="I27">
        <v>10.66</v>
      </c>
      <c r="J27">
        <v>0</v>
      </c>
      <c r="O27">
        <f t="shared" si="2"/>
        <v>180870.59</v>
      </c>
      <c r="P27">
        <f t="shared" si="3"/>
        <v>125239.94</v>
      </c>
      <c r="Q27">
        <f t="shared" si="4"/>
        <v>11775.25</v>
      </c>
      <c r="R27">
        <f t="shared" si="5"/>
        <v>4661.3</v>
      </c>
      <c r="S27">
        <f t="shared" si="6"/>
        <v>43855.4</v>
      </c>
      <c r="T27">
        <f t="shared" si="7"/>
        <v>0</v>
      </c>
      <c r="U27">
        <f t="shared" si="8"/>
        <v>430.98</v>
      </c>
      <c r="V27">
        <f t="shared" si="9"/>
        <v>37.84</v>
      </c>
      <c r="W27">
        <f t="shared" si="10"/>
        <v>0</v>
      </c>
      <c r="X27">
        <f t="shared" si="11"/>
        <v>56095.01</v>
      </c>
      <c r="Y27">
        <f t="shared" si="12"/>
        <v>36387.53</v>
      </c>
      <c r="AA27">
        <v>0</v>
      </c>
      <c r="AB27">
        <f t="shared" si="13"/>
        <v>2831.5229999999997</v>
      </c>
      <c r="AC27">
        <f aca="true" t="shared" si="29" ref="AC27:AC32">AL27</f>
        <v>2212.54</v>
      </c>
      <c r="AD27">
        <f>(AM27*1.25)</f>
        <v>249.35</v>
      </c>
      <c r="AE27">
        <f>(AN27*1.25)</f>
        <v>39.2875</v>
      </c>
      <c r="AF27">
        <f>(AO27*1.15)</f>
        <v>369.633</v>
      </c>
      <c r="AG27">
        <f t="shared" si="14"/>
        <v>0</v>
      </c>
      <c r="AH27">
        <f t="shared" si="15"/>
        <v>40.43</v>
      </c>
      <c r="AI27">
        <f t="shared" si="16"/>
        <v>3.55</v>
      </c>
      <c r="AJ27">
        <f t="shared" si="17"/>
        <v>0</v>
      </c>
      <c r="AK27">
        <v>2733.44</v>
      </c>
      <c r="AL27">
        <v>2212.54</v>
      </c>
      <c r="AM27">
        <v>199.48</v>
      </c>
      <c r="AN27">
        <v>31.43</v>
      </c>
      <c r="AO27">
        <v>321.42</v>
      </c>
      <c r="AP27">
        <v>0</v>
      </c>
      <c r="AQ27">
        <v>40.43</v>
      </c>
      <c r="AR27">
        <v>3.55</v>
      </c>
      <c r="AS27">
        <v>0</v>
      </c>
      <c r="AT27">
        <v>115.62</v>
      </c>
      <c r="AU27">
        <v>75</v>
      </c>
      <c r="AV27">
        <v>1</v>
      </c>
      <c r="AW27">
        <v>1</v>
      </c>
      <c r="AX27">
        <v>1</v>
      </c>
      <c r="AY27">
        <v>1</v>
      </c>
      <c r="AZ27">
        <v>6.91</v>
      </c>
      <c r="BA27">
        <v>11.13</v>
      </c>
      <c r="BB27">
        <v>4.43</v>
      </c>
      <c r="BC27">
        <v>5.31</v>
      </c>
      <c r="BH27">
        <v>0</v>
      </c>
      <c r="BI27">
        <v>1</v>
      </c>
      <c r="BJ27" t="s">
        <v>44</v>
      </c>
      <c r="BM27">
        <v>17</v>
      </c>
      <c r="BN27">
        <v>0</v>
      </c>
      <c r="BO27" t="s">
        <v>42</v>
      </c>
      <c r="BP27">
        <v>1</v>
      </c>
      <c r="BQ27">
        <v>2</v>
      </c>
      <c r="BR27">
        <v>0</v>
      </c>
      <c r="BS27">
        <v>11.13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N27" t="s">
        <v>207</v>
      </c>
      <c r="CO27">
        <v>0</v>
      </c>
      <c r="CP27">
        <f t="shared" si="18"/>
        <v>180870.59</v>
      </c>
      <c r="CQ27">
        <f t="shared" si="19"/>
        <v>11748.587399999999</v>
      </c>
      <c r="CR27">
        <f t="shared" si="20"/>
        <v>1104.6205</v>
      </c>
      <c r="CS27">
        <f t="shared" si="21"/>
        <v>437.26987500000007</v>
      </c>
      <c r="CT27">
        <f t="shared" si="22"/>
        <v>4114.01529</v>
      </c>
      <c r="CU27">
        <f t="shared" si="23"/>
        <v>0</v>
      </c>
      <c r="CV27">
        <f t="shared" si="24"/>
        <v>40.43</v>
      </c>
      <c r="CW27">
        <f t="shared" si="25"/>
        <v>3.55</v>
      </c>
      <c r="CX27">
        <f t="shared" si="26"/>
        <v>0</v>
      </c>
      <c r="CY27">
        <f t="shared" si="27"/>
        <v>56095.00854</v>
      </c>
      <c r="CZ27">
        <f t="shared" si="28"/>
        <v>36387.525</v>
      </c>
      <c r="DE27" t="s">
        <v>21</v>
      </c>
      <c r="DF27" t="s">
        <v>21</v>
      </c>
      <c r="DG27" t="s">
        <v>22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1005</v>
      </c>
      <c r="DV27" t="s">
        <v>30</v>
      </c>
      <c r="DW27" t="s">
        <v>45</v>
      </c>
      <c r="DX27">
        <v>100</v>
      </c>
      <c r="EE27">
        <v>5849364</v>
      </c>
      <c r="EF27">
        <v>2</v>
      </c>
      <c r="EG27" t="s">
        <v>24</v>
      </c>
      <c r="EH27">
        <v>0</v>
      </c>
      <c r="EJ27">
        <v>1</v>
      </c>
      <c r="EK27">
        <v>17</v>
      </c>
      <c r="EL27" t="s">
        <v>34</v>
      </c>
      <c r="EM27" t="s">
        <v>35</v>
      </c>
      <c r="EN27" s="2" t="s">
        <v>208</v>
      </c>
    </row>
    <row r="28" spans="1:144" ht="12.75">
      <c r="A28">
        <v>18</v>
      </c>
      <c r="B28">
        <v>1</v>
      </c>
      <c r="E28" t="s">
        <v>46</v>
      </c>
      <c r="F28" t="s">
        <v>47</v>
      </c>
      <c r="G28" t="s">
        <v>48</v>
      </c>
      <c r="H28" t="s">
        <v>49</v>
      </c>
      <c r="I28">
        <f>I27*J28</f>
        <v>-32.6196</v>
      </c>
      <c r="J28">
        <v>-3.06</v>
      </c>
      <c r="O28">
        <f t="shared" si="2"/>
        <v>-115184.7</v>
      </c>
      <c r="P28">
        <f t="shared" si="3"/>
        <v>-115184.7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665</v>
      </c>
      <c r="AC28">
        <f t="shared" si="29"/>
        <v>665</v>
      </c>
      <c r="AD28">
        <f aca="true" t="shared" si="30" ref="AD28:AF30">AM28</f>
        <v>0</v>
      </c>
      <c r="AE28">
        <f t="shared" si="30"/>
        <v>0</v>
      </c>
      <c r="AF28">
        <f t="shared" si="30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>
        <f t="shared" si="17"/>
        <v>0</v>
      </c>
      <c r="AK28">
        <v>0</v>
      </c>
      <c r="AL28">
        <v>665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115.62</v>
      </c>
      <c r="AU28">
        <v>75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5.31</v>
      </c>
      <c r="BH28">
        <v>3</v>
      </c>
      <c r="BI28">
        <v>1</v>
      </c>
      <c r="BJ28" t="s">
        <v>47</v>
      </c>
      <c r="BM28">
        <v>17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8"/>
        <v>-115184.7</v>
      </c>
      <c r="CQ28">
        <f t="shared" si="19"/>
        <v>3531.1499999999996</v>
      </c>
      <c r="CR28">
        <f t="shared" si="20"/>
        <v>0</v>
      </c>
      <c r="CS28">
        <f t="shared" si="21"/>
        <v>0</v>
      </c>
      <c r="CT28">
        <f t="shared" si="22"/>
        <v>0</v>
      </c>
      <c r="CU28">
        <f t="shared" si="23"/>
        <v>0</v>
      </c>
      <c r="CV28">
        <f t="shared" si="24"/>
        <v>0</v>
      </c>
      <c r="CW28">
        <f t="shared" si="25"/>
        <v>0</v>
      </c>
      <c r="CX28">
        <f t="shared" si="26"/>
        <v>0</v>
      </c>
      <c r="CY28">
        <f t="shared" si="27"/>
        <v>0</v>
      </c>
      <c r="CZ28">
        <f t="shared" si="28"/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49</v>
      </c>
      <c r="DW28" t="s">
        <v>49</v>
      </c>
      <c r="DX28">
        <v>1</v>
      </c>
      <c r="EE28">
        <v>5849364</v>
      </c>
      <c r="EF28">
        <v>2</v>
      </c>
      <c r="EG28" t="s">
        <v>24</v>
      </c>
      <c r="EH28">
        <v>0</v>
      </c>
      <c r="EJ28">
        <v>1</v>
      </c>
      <c r="EK28">
        <v>17</v>
      </c>
      <c r="EL28" t="s">
        <v>34</v>
      </c>
      <c r="EM28" t="s">
        <v>35</v>
      </c>
    </row>
    <row r="29" spans="1:144" ht="12.75">
      <c r="A29">
        <v>18</v>
      </c>
      <c r="B29">
        <v>1</v>
      </c>
      <c r="E29" t="s">
        <v>50</v>
      </c>
      <c r="F29" t="s">
        <v>51</v>
      </c>
      <c r="G29" t="s">
        <v>52</v>
      </c>
      <c r="H29" t="s">
        <v>49</v>
      </c>
      <c r="I29">
        <f>I27*J29</f>
        <v>32.6196</v>
      </c>
      <c r="J29">
        <v>3.06</v>
      </c>
      <c r="O29">
        <f t="shared" si="2"/>
        <v>111448.56</v>
      </c>
      <c r="P29">
        <f t="shared" si="3"/>
        <v>111448.56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643.43</v>
      </c>
      <c r="AC29">
        <f t="shared" si="29"/>
        <v>643.43</v>
      </c>
      <c r="AD29">
        <f t="shared" si="30"/>
        <v>0</v>
      </c>
      <c r="AE29">
        <f t="shared" si="30"/>
        <v>0</v>
      </c>
      <c r="AF29">
        <f t="shared" si="30"/>
        <v>0</v>
      </c>
      <c r="AG29">
        <f t="shared" si="14"/>
        <v>0</v>
      </c>
      <c r="AH29">
        <f t="shared" si="15"/>
        <v>0</v>
      </c>
      <c r="AI29">
        <f t="shared" si="16"/>
        <v>0</v>
      </c>
      <c r="AJ29">
        <f t="shared" si="17"/>
        <v>0</v>
      </c>
      <c r="AK29">
        <v>0</v>
      </c>
      <c r="AL29">
        <v>643.43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115.62</v>
      </c>
      <c r="AU29">
        <v>75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5.31</v>
      </c>
      <c r="BH29">
        <v>3</v>
      </c>
      <c r="BI29">
        <v>1</v>
      </c>
      <c r="BJ29" t="s">
        <v>53</v>
      </c>
      <c r="BM29">
        <v>17</v>
      </c>
      <c r="BN29">
        <v>0</v>
      </c>
      <c r="BO29" t="s">
        <v>51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8"/>
        <v>111448.56</v>
      </c>
      <c r="CQ29">
        <f t="shared" si="19"/>
        <v>3416.6132999999995</v>
      </c>
      <c r="CR29">
        <f t="shared" si="20"/>
        <v>0</v>
      </c>
      <c r="CS29">
        <f t="shared" si="21"/>
        <v>0</v>
      </c>
      <c r="CT29">
        <f t="shared" si="22"/>
        <v>0</v>
      </c>
      <c r="CU29">
        <f t="shared" si="23"/>
        <v>0</v>
      </c>
      <c r="CV29">
        <f t="shared" si="24"/>
        <v>0</v>
      </c>
      <c r="CW29">
        <f t="shared" si="25"/>
        <v>0</v>
      </c>
      <c r="CX29">
        <f t="shared" si="26"/>
        <v>0</v>
      </c>
      <c r="CY29">
        <f t="shared" si="27"/>
        <v>0</v>
      </c>
      <c r="CZ29">
        <f t="shared" si="28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49</v>
      </c>
      <c r="DW29" t="s">
        <v>49</v>
      </c>
      <c r="DX29">
        <v>1</v>
      </c>
      <c r="EE29">
        <v>5849364</v>
      </c>
      <c r="EF29">
        <v>2</v>
      </c>
      <c r="EG29" t="s">
        <v>24</v>
      </c>
      <c r="EH29">
        <v>0</v>
      </c>
      <c r="EJ29">
        <v>1</v>
      </c>
      <c r="EK29">
        <v>17</v>
      </c>
      <c r="EL29" t="s">
        <v>34</v>
      </c>
      <c r="EM29" t="s">
        <v>35</v>
      </c>
    </row>
    <row r="30" spans="1:144" ht="12.75">
      <c r="A30">
        <v>18</v>
      </c>
      <c r="B30">
        <v>1</v>
      </c>
      <c r="E30" t="s">
        <v>54</v>
      </c>
      <c r="F30" t="s">
        <v>55</v>
      </c>
      <c r="G30" t="s">
        <v>56</v>
      </c>
      <c r="H30" t="s">
        <v>39</v>
      </c>
      <c r="I30">
        <f>I27*J30</f>
        <v>28</v>
      </c>
      <c r="J30">
        <v>2.626641651031895</v>
      </c>
      <c r="O30">
        <f t="shared" si="2"/>
        <v>12065.38</v>
      </c>
      <c r="P30">
        <f t="shared" si="3"/>
        <v>12065.38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81.15</v>
      </c>
      <c r="AC30">
        <f t="shared" si="29"/>
        <v>81.15</v>
      </c>
      <c r="AD30">
        <f t="shared" si="30"/>
        <v>0</v>
      </c>
      <c r="AE30">
        <f t="shared" si="30"/>
        <v>0</v>
      </c>
      <c r="AF30">
        <f t="shared" si="30"/>
        <v>0</v>
      </c>
      <c r="AG30">
        <f t="shared" si="14"/>
        <v>0</v>
      </c>
      <c r="AH30">
        <f t="shared" si="15"/>
        <v>0</v>
      </c>
      <c r="AI30">
        <f t="shared" si="16"/>
        <v>0</v>
      </c>
      <c r="AJ30">
        <f t="shared" si="17"/>
        <v>0</v>
      </c>
      <c r="AK30">
        <v>81.15</v>
      </c>
      <c r="AL30">
        <v>81.15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115.62</v>
      </c>
      <c r="AU30">
        <v>75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5.31</v>
      </c>
      <c r="BH30">
        <v>3</v>
      </c>
      <c r="BI30">
        <v>1</v>
      </c>
      <c r="BM30">
        <v>17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8"/>
        <v>12065.38</v>
      </c>
      <c r="CQ30">
        <f t="shared" si="19"/>
        <v>430.9065</v>
      </c>
      <c r="CR30">
        <f t="shared" si="20"/>
        <v>0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4"/>
        <v>0</v>
      </c>
      <c r="CW30">
        <f t="shared" si="25"/>
        <v>0</v>
      </c>
      <c r="CX30">
        <f t="shared" si="26"/>
        <v>0</v>
      </c>
      <c r="CY30">
        <f t="shared" si="27"/>
        <v>0</v>
      </c>
      <c r="CZ30">
        <f t="shared" si="28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39</v>
      </c>
      <c r="DW30" t="s">
        <v>39</v>
      </c>
      <c r="DX30">
        <v>1</v>
      </c>
      <c r="EE30">
        <v>5849364</v>
      </c>
      <c r="EF30">
        <v>2</v>
      </c>
      <c r="EG30" t="s">
        <v>24</v>
      </c>
      <c r="EH30">
        <v>0</v>
      </c>
      <c r="EJ30">
        <v>1</v>
      </c>
      <c r="EK30">
        <v>17</v>
      </c>
      <c r="EL30" t="s">
        <v>34</v>
      </c>
      <c r="EM30" t="s">
        <v>35</v>
      </c>
    </row>
    <row r="31" spans="1:144" ht="409.5">
      <c r="A31">
        <v>17</v>
      </c>
      <c r="B31">
        <v>1</v>
      </c>
      <c r="C31">
        <f>ROW(SmtRes!A34)</f>
        <v>34</v>
      </c>
      <c r="E31" t="s">
        <v>57</v>
      </c>
      <c r="F31" t="s">
        <v>58</v>
      </c>
      <c r="G31" t="s">
        <v>59</v>
      </c>
      <c r="H31" t="s">
        <v>30</v>
      </c>
      <c r="I31">
        <v>10.66</v>
      </c>
      <c r="J31">
        <v>0</v>
      </c>
      <c r="O31">
        <f t="shared" si="2"/>
        <v>116836.34</v>
      </c>
      <c r="P31">
        <f t="shared" si="3"/>
        <v>1221.52</v>
      </c>
      <c r="Q31">
        <f t="shared" si="4"/>
        <v>16453.75</v>
      </c>
      <c r="R31">
        <f t="shared" si="5"/>
        <v>3118.9</v>
      </c>
      <c r="S31">
        <f t="shared" si="6"/>
        <v>99161.07</v>
      </c>
      <c r="T31">
        <f t="shared" si="7"/>
        <v>0</v>
      </c>
      <c r="U31">
        <f t="shared" si="8"/>
        <v>853.23</v>
      </c>
      <c r="V31">
        <f t="shared" si="9"/>
        <v>27.85</v>
      </c>
      <c r="W31">
        <f t="shared" si="10"/>
        <v>0</v>
      </c>
      <c r="X31">
        <f t="shared" si="11"/>
        <v>118256.1</v>
      </c>
      <c r="Y31">
        <f t="shared" si="12"/>
        <v>76709.98</v>
      </c>
      <c r="AA31">
        <v>0</v>
      </c>
      <c r="AB31">
        <f t="shared" si="13"/>
        <v>1147.1989999999998</v>
      </c>
      <c r="AC31">
        <f t="shared" si="29"/>
        <v>16.3</v>
      </c>
      <c r="AD31">
        <f>(AM31*1.25)</f>
        <v>295.125</v>
      </c>
      <c r="AE31">
        <f>(AN31*1.25)</f>
        <v>26.2875</v>
      </c>
      <c r="AF31">
        <f>(AO31*1.15)</f>
        <v>835.7739999999999</v>
      </c>
      <c r="AG31">
        <f t="shared" si="14"/>
        <v>0</v>
      </c>
      <c r="AH31">
        <f t="shared" si="15"/>
        <v>80.04</v>
      </c>
      <c r="AI31">
        <f t="shared" si="16"/>
        <v>2.6125</v>
      </c>
      <c r="AJ31">
        <f t="shared" si="17"/>
        <v>0</v>
      </c>
      <c r="AK31">
        <v>979.16</v>
      </c>
      <c r="AL31">
        <v>16.3</v>
      </c>
      <c r="AM31">
        <v>236.1</v>
      </c>
      <c r="AN31">
        <v>21.03</v>
      </c>
      <c r="AO31">
        <v>726.76</v>
      </c>
      <c r="AP31">
        <v>0</v>
      </c>
      <c r="AQ31">
        <v>80.04</v>
      </c>
      <c r="AR31">
        <v>2.6125</v>
      </c>
      <c r="AS31">
        <v>0</v>
      </c>
      <c r="AT31">
        <v>115.62</v>
      </c>
      <c r="AU31">
        <v>75</v>
      </c>
      <c r="AV31">
        <v>1</v>
      </c>
      <c r="AW31">
        <v>1</v>
      </c>
      <c r="AX31">
        <v>1</v>
      </c>
      <c r="AY31">
        <v>1</v>
      </c>
      <c r="AZ31">
        <v>10.29</v>
      </c>
      <c r="BA31">
        <v>11.13</v>
      </c>
      <c r="BB31">
        <v>5.23</v>
      </c>
      <c r="BC31">
        <v>7.03</v>
      </c>
      <c r="BH31">
        <v>0</v>
      </c>
      <c r="BI31">
        <v>1</v>
      </c>
      <c r="BJ31" t="s">
        <v>60</v>
      </c>
      <c r="BM31">
        <v>17</v>
      </c>
      <c r="BN31">
        <v>0</v>
      </c>
      <c r="BO31" t="s">
        <v>58</v>
      </c>
      <c r="BP31">
        <v>1</v>
      </c>
      <c r="BQ31">
        <v>2</v>
      </c>
      <c r="BR31">
        <v>0</v>
      </c>
      <c r="BS31">
        <v>11.13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N31" t="s">
        <v>207</v>
      </c>
      <c r="CO31">
        <v>0</v>
      </c>
      <c r="CP31">
        <f t="shared" si="18"/>
        <v>116836.34000000001</v>
      </c>
      <c r="CQ31">
        <f t="shared" si="19"/>
        <v>114.58900000000001</v>
      </c>
      <c r="CR31">
        <f t="shared" si="20"/>
        <v>1543.50375</v>
      </c>
      <c r="CS31">
        <f t="shared" si="21"/>
        <v>292.579875</v>
      </c>
      <c r="CT31">
        <f t="shared" si="22"/>
        <v>9302.16462</v>
      </c>
      <c r="CU31">
        <f t="shared" si="23"/>
        <v>0</v>
      </c>
      <c r="CV31">
        <f t="shared" si="24"/>
        <v>80.04</v>
      </c>
      <c r="CW31">
        <f t="shared" si="25"/>
        <v>2.6125</v>
      </c>
      <c r="CX31">
        <f t="shared" si="26"/>
        <v>0</v>
      </c>
      <c r="CY31">
        <f t="shared" si="27"/>
        <v>118256.101314</v>
      </c>
      <c r="CZ31">
        <f t="shared" si="28"/>
        <v>76709.9775</v>
      </c>
      <c r="DE31" t="s">
        <v>21</v>
      </c>
      <c r="DF31" t="s">
        <v>21</v>
      </c>
      <c r="DG31" t="s">
        <v>22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30</v>
      </c>
      <c r="DW31" t="s">
        <v>45</v>
      </c>
      <c r="DX31">
        <v>100</v>
      </c>
      <c r="EE31">
        <v>5849364</v>
      </c>
      <c r="EF31">
        <v>2</v>
      </c>
      <c r="EG31" t="s">
        <v>24</v>
      </c>
      <c r="EH31">
        <v>0</v>
      </c>
      <c r="EJ31">
        <v>1</v>
      </c>
      <c r="EK31">
        <v>17</v>
      </c>
      <c r="EL31" t="s">
        <v>34</v>
      </c>
      <c r="EM31" t="s">
        <v>35</v>
      </c>
      <c r="EN31" s="2" t="s">
        <v>208</v>
      </c>
    </row>
    <row r="32" spans="1:144" ht="12.75">
      <c r="A32">
        <v>17</v>
      </c>
      <c r="B32">
        <v>1</v>
      </c>
      <c r="C32">
        <f>ROW(SmtRes!A42)</f>
        <v>42</v>
      </c>
      <c r="E32" t="s">
        <v>61</v>
      </c>
      <c r="F32" t="s">
        <v>62</v>
      </c>
      <c r="G32" t="s">
        <v>63</v>
      </c>
      <c r="H32" t="s">
        <v>64</v>
      </c>
      <c r="I32">
        <v>9</v>
      </c>
      <c r="J32">
        <v>0</v>
      </c>
      <c r="O32">
        <f t="shared" si="2"/>
        <v>147171.91</v>
      </c>
      <c r="P32">
        <f t="shared" si="3"/>
        <v>26631.98</v>
      </c>
      <c r="Q32">
        <f t="shared" si="4"/>
        <v>89487.23</v>
      </c>
      <c r="R32">
        <f t="shared" si="5"/>
        <v>24804.1</v>
      </c>
      <c r="S32">
        <f t="shared" si="6"/>
        <v>31052.7</v>
      </c>
      <c r="T32">
        <f t="shared" si="7"/>
        <v>0</v>
      </c>
      <c r="U32">
        <f t="shared" si="8"/>
        <v>285.57</v>
      </c>
      <c r="V32">
        <f t="shared" si="9"/>
        <v>190.89</v>
      </c>
      <c r="W32">
        <f t="shared" si="10"/>
        <v>0</v>
      </c>
      <c r="X32">
        <f t="shared" si="11"/>
        <v>45154.64</v>
      </c>
      <c r="Y32">
        <f t="shared" si="12"/>
        <v>39099.76</v>
      </c>
      <c r="AA32">
        <v>0</v>
      </c>
      <c r="AB32">
        <f t="shared" si="13"/>
        <v>3771.51</v>
      </c>
      <c r="AC32">
        <f t="shared" si="29"/>
        <v>1309.34</v>
      </c>
      <c r="AD32">
        <f>AM32</f>
        <v>2152.17</v>
      </c>
      <c r="AE32">
        <f>AN32</f>
        <v>247.62</v>
      </c>
      <c r="AF32">
        <f>AO32</f>
        <v>310</v>
      </c>
      <c r="AG32">
        <f t="shared" si="14"/>
        <v>0</v>
      </c>
      <c r="AH32">
        <f t="shared" si="15"/>
        <v>31.73</v>
      </c>
      <c r="AI32">
        <f t="shared" si="16"/>
        <v>21.21</v>
      </c>
      <c r="AJ32">
        <f t="shared" si="17"/>
        <v>0</v>
      </c>
      <c r="AK32">
        <v>3771.51</v>
      </c>
      <c r="AL32">
        <v>1309.34</v>
      </c>
      <c r="AM32">
        <v>2152.17</v>
      </c>
      <c r="AN32">
        <v>247.62</v>
      </c>
      <c r="AO32">
        <v>310</v>
      </c>
      <c r="AP32">
        <v>0</v>
      </c>
      <c r="AQ32">
        <v>31.73</v>
      </c>
      <c r="AR32">
        <v>21.21</v>
      </c>
      <c r="AS32">
        <v>0</v>
      </c>
      <c r="AT32">
        <v>80.84</v>
      </c>
      <c r="AU32">
        <v>70</v>
      </c>
      <c r="AV32">
        <v>1</v>
      </c>
      <c r="AW32">
        <v>1</v>
      </c>
      <c r="AX32">
        <v>1</v>
      </c>
      <c r="AY32">
        <v>1</v>
      </c>
      <c r="AZ32">
        <v>5.54</v>
      </c>
      <c r="BA32">
        <v>11.13</v>
      </c>
      <c r="BB32">
        <v>4.62</v>
      </c>
      <c r="BC32">
        <v>2.26</v>
      </c>
      <c r="BH32">
        <v>0</v>
      </c>
      <c r="BI32">
        <v>1</v>
      </c>
      <c r="BJ32" t="s">
        <v>65</v>
      </c>
      <c r="BM32">
        <v>213</v>
      </c>
      <c r="BN32">
        <v>0</v>
      </c>
      <c r="BO32" t="s">
        <v>62</v>
      </c>
      <c r="BP32">
        <v>1</v>
      </c>
      <c r="BQ32">
        <v>6</v>
      </c>
      <c r="BR32">
        <v>0</v>
      </c>
      <c r="BS32">
        <v>11.13</v>
      </c>
      <c r="BT32">
        <v>1</v>
      </c>
      <c r="BU32">
        <v>1</v>
      </c>
      <c r="BV32">
        <v>1</v>
      </c>
      <c r="BW32">
        <v>1</v>
      </c>
      <c r="BX32">
        <v>1</v>
      </c>
      <c r="CF32">
        <v>0</v>
      </c>
      <c r="CG32">
        <v>0</v>
      </c>
      <c r="CM32">
        <v>0</v>
      </c>
      <c r="CO32">
        <v>0</v>
      </c>
      <c r="CP32">
        <f t="shared" si="18"/>
        <v>147171.91</v>
      </c>
      <c r="CQ32">
        <f t="shared" si="19"/>
        <v>2959.1083999999996</v>
      </c>
      <c r="CR32">
        <f t="shared" si="20"/>
        <v>9943.0254</v>
      </c>
      <c r="CS32">
        <f t="shared" si="21"/>
        <v>2756.0106</v>
      </c>
      <c r="CT32">
        <f t="shared" si="22"/>
        <v>3450.3</v>
      </c>
      <c r="CU32">
        <f t="shared" si="23"/>
        <v>0</v>
      </c>
      <c r="CV32">
        <f t="shared" si="24"/>
        <v>31.73</v>
      </c>
      <c r="CW32">
        <f t="shared" si="25"/>
        <v>21.21</v>
      </c>
      <c r="CX32">
        <f t="shared" si="26"/>
        <v>0</v>
      </c>
      <c r="CY32">
        <f t="shared" si="27"/>
        <v>45154.63712</v>
      </c>
      <c r="CZ32">
        <f t="shared" si="28"/>
        <v>39099.76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1003</v>
      </c>
      <c r="DV32" t="s">
        <v>64</v>
      </c>
      <c r="DW32" t="s">
        <v>66</v>
      </c>
      <c r="DX32">
        <v>100</v>
      </c>
      <c r="EE32">
        <v>5849416</v>
      </c>
      <c r="EF32">
        <v>6</v>
      </c>
      <c r="EG32" t="s">
        <v>67</v>
      </c>
      <c r="EH32">
        <v>0</v>
      </c>
      <c r="EJ32">
        <v>1</v>
      </c>
      <c r="EK32">
        <v>213</v>
      </c>
      <c r="EL32" t="s">
        <v>68</v>
      </c>
      <c r="EM32" t="s">
        <v>69</v>
      </c>
    </row>
    <row r="33" spans="1:144" ht="409.5">
      <c r="A33">
        <v>17</v>
      </c>
      <c r="B33">
        <v>1</v>
      </c>
      <c r="C33">
        <f>ROW(SmtRes!A57)</f>
        <v>57</v>
      </c>
      <c r="E33" t="s">
        <v>70</v>
      </c>
      <c r="F33" t="s">
        <v>71</v>
      </c>
      <c r="G33" t="s">
        <v>72</v>
      </c>
      <c r="H33" t="s">
        <v>30</v>
      </c>
      <c r="I33">
        <v>10.66</v>
      </c>
      <c r="J33">
        <v>0</v>
      </c>
      <c r="O33">
        <f t="shared" si="2"/>
        <v>141023.26</v>
      </c>
      <c r="P33">
        <f t="shared" si="3"/>
        <v>0</v>
      </c>
      <c r="Q33">
        <f t="shared" si="4"/>
        <v>12982.73</v>
      </c>
      <c r="R33">
        <f t="shared" si="5"/>
        <v>9915.82</v>
      </c>
      <c r="S33">
        <f t="shared" si="6"/>
        <v>128040.53</v>
      </c>
      <c r="T33">
        <f t="shared" si="7"/>
        <v>0</v>
      </c>
      <c r="U33">
        <f t="shared" si="8"/>
        <v>859.41</v>
      </c>
      <c r="V33">
        <f t="shared" si="9"/>
        <v>92.34</v>
      </c>
      <c r="W33">
        <f t="shared" si="10"/>
        <v>0</v>
      </c>
      <c r="X33">
        <f t="shared" si="11"/>
        <v>159505.13</v>
      </c>
      <c r="Y33">
        <f t="shared" si="12"/>
        <v>103467.26</v>
      </c>
      <c r="AA33">
        <v>0</v>
      </c>
      <c r="AB33">
        <f t="shared" si="13"/>
        <v>1274.3579999999997</v>
      </c>
      <c r="AC33">
        <f>(AL33*0)</f>
        <v>0</v>
      </c>
      <c r="AD33">
        <f>(AM33*1.25)</f>
        <v>195.17499999999998</v>
      </c>
      <c r="AE33">
        <f>(AN33*1.25)</f>
        <v>83.575</v>
      </c>
      <c r="AF33">
        <f>(AO33*1.15)</f>
        <v>1079.1829999999998</v>
      </c>
      <c r="AG33">
        <f t="shared" si="14"/>
        <v>0</v>
      </c>
      <c r="AH33">
        <f t="shared" si="15"/>
        <v>80.62</v>
      </c>
      <c r="AI33">
        <f t="shared" si="16"/>
        <v>8.6625</v>
      </c>
      <c r="AJ33">
        <f t="shared" si="17"/>
        <v>0</v>
      </c>
      <c r="AK33">
        <v>53207.48</v>
      </c>
      <c r="AL33">
        <v>52112.92</v>
      </c>
      <c r="AM33">
        <v>156.14</v>
      </c>
      <c r="AN33">
        <v>66.86</v>
      </c>
      <c r="AO33">
        <v>938.42</v>
      </c>
      <c r="AP33">
        <v>0</v>
      </c>
      <c r="AQ33">
        <v>80.62</v>
      </c>
      <c r="AR33">
        <v>8.6625</v>
      </c>
      <c r="AS33">
        <v>0</v>
      </c>
      <c r="AT33">
        <v>115.62</v>
      </c>
      <c r="AU33">
        <v>75</v>
      </c>
      <c r="AV33">
        <v>1</v>
      </c>
      <c r="AW33">
        <v>1</v>
      </c>
      <c r="AX33">
        <v>1</v>
      </c>
      <c r="AY33">
        <v>1</v>
      </c>
      <c r="AZ33">
        <v>2.8</v>
      </c>
      <c r="BA33">
        <v>11.13</v>
      </c>
      <c r="BB33">
        <v>6.24</v>
      </c>
      <c r="BC33">
        <v>2.34</v>
      </c>
      <c r="BH33">
        <v>0</v>
      </c>
      <c r="BI33">
        <v>1</v>
      </c>
      <c r="BJ33" t="s">
        <v>73</v>
      </c>
      <c r="BM33">
        <v>17</v>
      </c>
      <c r="BN33">
        <v>0</v>
      </c>
      <c r="BO33" t="s">
        <v>71</v>
      </c>
      <c r="BP33">
        <v>1</v>
      </c>
      <c r="BQ33">
        <v>2</v>
      </c>
      <c r="BR33">
        <v>0</v>
      </c>
      <c r="BS33">
        <v>11.13</v>
      </c>
      <c r="BT33">
        <v>1</v>
      </c>
      <c r="BU33">
        <v>1</v>
      </c>
      <c r="BV33">
        <v>1</v>
      </c>
      <c r="BW33">
        <v>1</v>
      </c>
      <c r="BX33">
        <v>1</v>
      </c>
      <c r="CF33">
        <v>0</v>
      </c>
      <c r="CG33">
        <v>0</v>
      </c>
      <c r="CM33">
        <v>0</v>
      </c>
      <c r="CN33" t="s">
        <v>207</v>
      </c>
      <c r="CO33">
        <v>0</v>
      </c>
      <c r="CP33">
        <f t="shared" si="18"/>
        <v>141023.26</v>
      </c>
      <c r="CQ33">
        <f t="shared" si="19"/>
        <v>0</v>
      </c>
      <c r="CR33">
        <f t="shared" si="20"/>
        <v>1217.8919999999998</v>
      </c>
      <c r="CS33">
        <f t="shared" si="21"/>
        <v>930.1897500000001</v>
      </c>
      <c r="CT33">
        <f t="shared" si="22"/>
        <v>12011.306789999999</v>
      </c>
      <c r="CU33">
        <f t="shared" si="23"/>
        <v>0</v>
      </c>
      <c r="CV33">
        <f t="shared" si="24"/>
        <v>80.62</v>
      </c>
      <c r="CW33">
        <f t="shared" si="25"/>
        <v>8.6625</v>
      </c>
      <c r="CX33">
        <f t="shared" si="26"/>
        <v>0</v>
      </c>
      <c r="CY33">
        <f t="shared" si="27"/>
        <v>159505.13187</v>
      </c>
      <c r="CZ33">
        <f t="shared" si="28"/>
        <v>103467.2625</v>
      </c>
      <c r="DD33" t="s">
        <v>32</v>
      </c>
      <c r="DE33" t="s">
        <v>21</v>
      </c>
      <c r="DF33" t="s">
        <v>21</v>
      </c>
      <c r="DG33" t="s">
        <v>22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30</v>
      </c>
      <c r="DW33" t="s">
        <v>45</v>
      </c>
      <c r="DX33">
        <v>100</v>
      </c>
      <c r="EE33">
        <v>5849364</v>
      </c>
      <c r="EF33">
        <v>2</v>
      </c>
      <c r="EG33" t="s">
        <v>24</v>
      </c>
      <c r="EH33">
        <v>0</v>
      </c>
      <c r="EJ33">
        <v>1</v>
      </c>
      <c r="EK33">
        <v>17</v>
      </c>
      <c r="EL33" t="s">
        <v>34</v>
      </c>
      <c r="EM33" t="s">
        <v>35</v>
      </c>
      <c r="EN33" s="2" t="s">
        <v>208</v>
      </c>
    </row>
    <row r="34" spans="1:144" ht="12.75">
      <c r="A34">
        <v>18</v>
      </c>
      <c r="B34">
        <v>1</v>
      </c>
      <c r="E34" t="s">
        <v>74</v>
      </c>
      <c r="F34" t="s">
        <v>55</v>
      </c>
      <c r="G34" t="s">
        <v>75</v>
      </c>
      <c r="H34" t="s">
        <v>39</v>
      </c>
      <c r="I34">
        <f>I33*J34</f>
        <v>480</v>
      </c>
      <c r="J34">
        <v>45.0281425891182</v>
      </c>
      <c r="O34">
        <f t="shared" si="2"/>
        <v>55149.12</v>
      </c>
      <c r="P34">
        <f t="shared" si="3"/>
        <v>55149.12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  <c r="U34">
        <f t="shared" si="8"/>
        <v>0</v>
      </c>
      <c r="V34">
        <f t="shared" si="9"/>
        <v>0</v>
      </c>
      <c r="W34">
        <f t="shared" si="10"/>
        <v>0</v>
      </c>
      <c r="X34">
        <f t="shared" si="11"/>
        <v>0</v>
      </c>
      <c r="Y34">
        <f t="shared" si="12"/>
        <v>0</v>
      </c>
      <c r="AA34">
        <v>0</v>
      </c>
      <c r="AB34">
        <f t="shared" si="13"/>
        <v>49.1</v>
      </c>
      <c r="AC34">
        <f aca="true" t="shared" si="31" ref="AC34:AF35">AL34</f>
        <v>49.1</v>
      </c>
      <c r="AD34">
        <f t="shared" si="31"/>
        <v>0</v>
      </c>
      <c r="AE34">
        <f t="shared" si="31"/>
        <v>0</v>
      </c>
      <c r="AF34">
        <f t="shared" si="31"/>
        <v>0</v>
      </c>
      <c r="AG34">
        <f t="shared" si="14"/>
        <v>0</v>
      </c>
      <c r="AH34">
        <f t="shared" si="15"/>
        <v>0</v>
      </c>
      <c r="AI34">
        <f t="shared" si="16"/>
        <v>0</v>
      </c>
      <c r="AJ34">
        <f t="shared" si="17"/>
        <v>0</v>
      </c>
      <c r="AK34">
        <v>49.1</v>
      </c>
      <c r="AL34">
        <v>49.1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115.62</v>
      </c>
      <c r="AU34">
        <v>75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2.34</v>
      </c>
      <c r="BH34">
        <v>3</v>
      </c>
      <c r="BI34">
        <v>1</v>
      </c>
      <c r="BM34">
        <v>17</v>
      </c>
      <c r="BN34">
        <v>0</v>
      </c>
      <c r="BP34">
        <v>0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CF34">
        <v>0</v>
      </c>
      <c r="CG34">
        <v>0</v>
      </c>
      <c r="CM34">
        <v>0</v>
      </c>
      <c r="CO34">
        <v>0</v>
      </c>
      <c r="CP34">
        <f t="shared" si="18"/>
        <v>55149.12</v>
      </c>
      <c r="CQ34">
        <f t="shared" si="19"/>
        <v>114.89399999999999</v>
      </c>
      <c r="CR34">
        <f t="shared" si="20"/>
        <v>0</v>
      </c>
      <c r="CS34">
        <f t="shared" si="21"/>
        <v>0</v>
      </c>
      <c r="CT34">
        <f t="shared" si="22"/>
        <v>0</v>
      </c>
      <c r="CU34">
        <f t="shared" si="23"/>
        <v>0</v>
      </c>
      <c r="CV34">
        <f t="shared" si="24"/>
        <v>0</v>
      </c>
      <c r="CW34">
        <f t="shared" si="25"/>
        <v>0</v>
      </c>
      <c r="CX34">
        <f t="shared" si="26"/>
        <v>0</v>
      </c>
      <c r="CY34">
        <f t="shared" si="27"/>
        <v>0</v>
      </c>
      <c r="CZ34">
        <f t="shared" si="28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1009</v>
      </c>
      <c r="DV34" t="s">
        <v>39</v>
      </c>
      <c r="DW34" t="s">
        <v>39</v>
      </c>
      <c r="DX34">
        <v>1</v>
      </c>
      <c r="EE34">
        <v>5849364</v>
      </c>
      <c r="EF34">
        <v>2</v>
      </c>
      <c r="EG34" t="s">
        <v>24</v>
      </c>
      <c r="EH34">
        <v>0</v>
      </c>
      <c r="EJ34">
        <v>1</v>
      </c>
      <c r="EK34">
        <v>17</v>
      </c>
      <c r="EL34" t="s">
        <v>34</v>
      </c>
      <c r="EM34" t="s">
        <v>35</v>
      </c>
    </row>
    <row r="35" spans="1:144" ht="12.75">
      <c r="A35">
        <v>18</v>
      </c>
      <c r="B35">
        <v>1</v>
      </c>
      <c r="E35" t="s">
        <v>76</v>
      </c>
      <c r="F35" t="s">
        <v>55</v>
      </c>
      <c r="G35" t="s">
        <v>77</v>
      </c>
      <c r="H35" t="s">
        <v>39</v>
      </c>
      <c r="I35">
        <f>I33*J35</f>
        <v>3411</v>
      </c>
      <c r="J35">
        <v>319.9812382739212</v>
      </c>
      <c r="O35">
        <f t="shared" si="2"/>
        <v>489999.02</v>
      </c>
      <c r="P35">
        <f t="shared" si="3"/>
        <v>489999.02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</v>
      </c>
      <c r="W35">
        <f t="shared" si="10"/>
        <v>0</v>
      </c>
      <c r="X35">
        <f t="shared" si="11"/>
        <v>0</v>
      </c>
      <c r="Y35">
        <f t="shared" si="12"/>
        <v>0</v>
      </c>
      <c r="AA35">
        <v>0</v>
      </c>
      <c r="AB35">
        <f t="shared" si="13"/>
        <v>61.39</v>
      </c>
      <c r="AC35">
        <f t="shared" si="31"/>
        <v>61.39</v>
      </c>
      <c r="AD35">
        <f t="shared" si="31"/>
        <v>0</v>
      </c>
      <c r="AE35">
        <f t="shared" si="31"/>
        <v>0</v>
      </c>
      <c r="AF35">
        <f t="shared" si="31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>
        <f t="shared" si="17"/>
        <v>0</v>
      </c>
      <c r="AK35">
        <v>61.39</v>
      </c>
      <c r="AL35">
        <v>61.39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115.62</v>
      </c>
      <c r="AU35">
        <v>75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2.34</v>
      </c>
      <c r="BH35">
        <v>3</v>
      </c>
      <c r="BI35">
        <v>1</v>
      </c>
      <c r="BM35">
        <v>17</v>
      </c>
      <c r="BN35">
        <v>0</v>
      </c>
      <c r="BP35">
        <v>0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CF35">
        <v>0</v>
      </c>
      <c r="CG35">
        <v>0</v>
      </c>
      <c r="CM35">
        <v>0</v>
      </c>
      <c r="CO35">
        <v>0</v>
      </c>
      <c r="CP35">
        <f t="shared" si="18"/>
        <v>489999.02</v>
      </c>
      <c r="CQ35">
        <f t="shared" si="19"/>
        <v>143.6526</v>
      </c>
      <c r="CR35">
        <f t="shared" si="20"/>
        <v>0</v>
      </c>
      <c r="CS35">
        <f t="shared" si="21"/>
        <v>0</v>
      </c>
      <c r="CT35">
        <f t="shared" si="22"/>
        <v>0</v>
      </c>
      <c r="CU35">
        <f t="shared" si="23"/>
        <v>0</v>
      </c>
      <c r="CV35">
        <f t="shared" si="24"/>
        <v>0</v>
      </c>
      <c r="CW35">
        <f t="shared" si="25"/>
        <v>0</v>
      </c>
      <c r="CX35">
        <f t="shared" si="26"/>
        <v>0</v>
      </c>
      <c r="CY35">
        <f t="shared" si="27"/>
        <v>0</v>
      </c>
      <c r="CZ35">
        <f t="shared" si="28"/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1009</v>
      </c>
      <c r="DV35" t="s">
        <v>39</v>
      </c>
      <c r="DW35" t="s">
        <v>39</v>
      </c>
      <c r="DX35">
        <v>1</v>
      </c>
      <c r="EE35">
        <v>5849364</v>
      </c>
      <c r="EF35">
        <v>2</v>
      </c>
      <c r="EG35" t="s">
        <v>24</v>
      </c>
      <c r="EH35">
        <v>0</v>
      </c>
      <c r="EJ35">
        <v>1</v>
      </c>
      <c r="EK35">
        <v>17</v>
      </c>
      <c r="EL35" t="s">
        <v>34</v>
      </c>
      <c r="EM35" t="s">
        <v>35</v>
      </c>
    </row>
    <row r="37" spans="1:39" ht="12.75">
      <c r="A37" s="3">
        <v>51</v>
      </c>
      <c r="B37" s="3">
        <f>B20</f>
        <v>1</v>
      </c>
      <c r="C37" s="3">
        <f>A20</f>
        <v>3</v>
      </c>
      <c r="D37" s="3">
        <f>ROW(A20)</f>
        <v>20</v>
      </c>
      <c r="E37" s="3"/>
      <c r="F37" s="3" t="str">
        <f>IF(F20&lt;&gt;"",F20,"")</f>
        <v>Новая локальная смета</v>
      </c>
      <c r="G37" s="3" t="str">
        <f>IF(G20&lt;&gt;"",G20,"")</f>
        <v>Устройство полимерных полов</v>
      </c>
      <c r="H37" s="3"/>
      <c r="I37" s="3"/>
      <c r="J37" s="3"/>
      <c r="K37" s="3"/>
      <c r="L37" s="3"/>
      <c r="M37" s="3"/>
      <c r="N37" s="3"/>
      <c r="O37" s="3">
        <f aca="true" t="shared" si="32" ref="O37:Y37">ROUND(AB37,2)</f>
        <v>1614912.78</v>
      </c>
      <c r="P37" s="3">
        <f t="shared" si="32"/>
        <v>1119267.6</v>
      </c>
      <c r="Q37" s="3">
        <f t="shared" si="32"/>
        <v>141680.44</v>
      </c>
      <c r="R37" s="3">
        <f t="shared" si="32"/>
        <v>42860.51</v>
      </c>
      <c r="S37" s="3">
        <f t="shared" si="32"/>
        <v>353964.74</v>
      </c>
      <c r="T37" s="3">
        <f t="shared" si="32"/>
        <v>0</v>
      </c>
      <c r="U37" s="3">
        <f t="shared" si="32"/>
        <v>2823.29</v>
      </c>
      <c r="V37" s="3">
        <f t="shared" si="32"/>
        <v>354.65</v>
      </c>
      <c r="W37" s="3">
        <f t="shared" si="32"/>
        <v>0</v>
      </c>
      <c r="X37" s="3">
        <f t="shared" si="32"/>
        <v>435784.77</v>
      </c>
      <c r="Y37" s="3">
        <f t="shared" si="32"/>
        <v>294246.22</v>
      </c>
      <c r="Z37" s="3"/>
      <c r="AA37" s="3"/>
      <c r="AB37" s="3">
        <f>ROUND(SUMIF(AA24:AA35,"=0",O24:O35),2)</f>
        <v>1614912.78</v>
      </c>
      <c r="AC37" s="3">
        <f>ROUND(SUMIF(AA24:AA35,"=0",P24:P35),2)</f>
        <v>1119267.6</v>
      </c>
      <c r="AD37" s="3">
        <f>ROUND(SUMIF(AA24:AA35,"=0",Q24:Q35),2)</f>
        <v>141680.44</v>
      </c>
      <c r="AE37" s="3">
        <f>ROUND(SUMIF(AA24:AA35,"=0",R24:R35),2)</f>
        <v>42860.51</v>
      </c>
      <c r="AF37" s="3">
        <f>ROUND(SUMIF(AA24:AA35,"=0",S24:S35),2)</f>
        <v>353964.74</v>
      </c>
      <c r="AG37" s="3">
        <f>ROUND(SUMIF(AA24:AA35,"=0",T24:T35),2)</f>
        <v>0</v>
      </c>
      <c r="AH37" s="3">
        <f>ROUND(SUMIF(AA24:AA35,"=0",U24:U35),2)</f>
        <v>2823.29</v>
      </c>
      <c r="AI37" s="3">
        <f>ROUND(SUMIF(AA24:AA35,"=0",V24:V35),2)</f>
        <v>354.65</v>
      </c>
      <c r="AJ37" s="3">
        <f>ROUND(SUMIF(AA24:AA35,"=0",W24:W35),2)</f>
        <v>0</v>
      </c>
      <c r="AK37" s="3">
        <f>ROUND(SUMIF(AA24:AA35,"=0",X24:X35),2)</f>
        <v>435784.77</v>
      </c>
      <c r="AL37" s="3">
        <f>ROUND(SUMIF(AA24:AA35,"=0",Y24:Y35),2)</f>
        <v>294246.22</v>
      </c>
      <c r="AM37" s="3">
        <v>0</v>
      </c>
    </row>
    <row r="39" spans="1:14" ht="12.75">
      <c r="A39" s="4">
        <v>50</v>
      </c>
      <c r="B39" s="4">
        <v>0</v>
      </c>
      <c r="C39" s="4">
        <v>0</v>
      </c>
      <c r="D39" s="4">
        <v>1</v>
      </c>
      <c r="E39" s="4">
        <v>201</v>
      </c>
      <c r="F39" s="4">
        <f>Source!O37</f>
        <v>1614912.78</v>
      </c>
      <c r="G39" s="4" t="s">
        <v>78</v>
      </c>
      <c r="H39" s="4" t="s">
        <v>79</v>
      </c>
      <c r="I39" s="4"/>
      <c r="J39" s="4"/>
      <c r="K39" s="4">
        <v>201</v>
      </c>
      <c r="L39" s="4">
        <v>1</v>
      </c>
      <c r="M39" s="4">
        <v>3</v>
      </c>
      <c r="N39" s="4" t="s">
        <v>6</v>
      </c>
    </row>
    <row r="40" spans="1:14" ht="12.75">
      <c r="A40" s="4">
        <v>50</v>
      </c>
      <c r="B40" s="4">
        <v>0</v>
      </c>
      <c r="C40" s="4">
        <v>0</v>
      </c>
      <c r="D40" s="4">
        <v>1</v>
      </c>
      <c r="E40" s="4">
        <v>202</v>
      </c>
      <c r="F40" s="4">
        <f>Source!P37</f>
        <v>1119267.6</v>
      </c>
      <c r="G40" s="4" t="s">
        <v>80</v>
      </c>
      <c r="H40" s="4" t="s">
        <v>81</v>
      </c>
      <c r="I40" s="4"/>
      <c r="J40" s="4"/>
      <c r="K40" s="4">
        <v>202</v>
      </c>
      <c r="L40" s="4">
        <v>2</v>
      </c>
      <c r="M40" s="4">
        <v>3</v>
      </c>
      <c r="N40" s="4" t="s">
        <v>6</v>
      </c>
    </row>
    <row r="41" spans="1:14" ht="12.75">
      <c r="A41" s="4">
        <v>50</v>
      </c>
      <c r="B41" s="4">
        <v>0</v>
      </c>
      <c r="C41" s="4">
        <v>0</v>
      </c>
      <c r="D41" s="4">
        <v>1</v>
      </c>
      <c r="E41" s="4">
        <v>203</v>
      </c>
      <c r="F41" s="4">
        <f>Source!Q37</f>
        <v>141680.44</v>
      </c>
      <c r="G41" s="4" t="s">
        <v>82</v>
      </c>
      <c r="H41" s="4" t="s">
        <v>83</v>
      </c>
      <c r="I41" s="4"/>
      <c r="J41" s="4"/>
      <c r="K41" s="4">
        <v>203</v>
      </c>
      <c r="L41" s="4">
        <v>3</v>
      </c>
      <c r="M41" s="4">
        <v>3</v>
      </c>
      <c r="N41" s="4" t="s">
        <v>6</v>
      </c>
    </row>
    <row r="42" spans="1:14" ht="12.75">
      <c r="A42" s="4">
        <v>50</v>
      </c>
      <c r="B42" s="4">
        <v>0</v>
      </c>
      <c r="C42" s="4">
        <v>0</v>
      </c>
      <c r="D42" s="4">
        <v>1</v>
      </c>
      <c r="E42" s="4">
        <v>204</v>
      </c>
      <c r="F42" s="4">
        <f>Source!R37</f>
        <v>42860.51</v>
      </c>
      <c r="G42" s="4" t="s">
        <v>84</v>
      </c>
      <c r="H42" s="4" t="s">
        <v>85</v>
      </c>
      <c r="I42" s="4"/>
      <c r="J42" s="4"/>
      <c r="K42" s="4">
        <v>204</v>
      </c>
      <c r="L42" s="4">
        <v>4</v>
      </c>
      <c r="M42" s="4">
        <v>3</v>
      </c>
      <c r="N42" s="4" t="s">
        <v>6</v>
      </c>
    </row>
    <row r="43" spans="1:14" ht="12.75">
      <c r="A43" s="4">
        <v>50</v>
      </c>
      <c r="B43" s="4">
        <v>0</v>
      </c>
      <c r="C43" s="4">
        <v>0</v>
      </c>
      <c r="D43" s="4">
        <v>1</v>
      </c>
      <c r="E43" s="4">
        <v>205</v>
      </c>
      <c r="F43" s="4">
        <f>Source!S37</f>
        <v>353964.74</v>
      </c>
      <c r="G43" s="4" t="s">
        <v>86</v>
      </c>
      <c r="H43" s="4" t="s">
        <v>87</v>
      </c>
      <c r="I43" s="4"/>
      <c r="J43" s="4"/>
      <c r="K43" s="4">
        <v>205</v>
      </c>
      <c r="L43" s="4">
        <v>5</v>
      </c>
      <c r="M43" s="4">
        <v>3</v>
      </c>
      <c r="N43" s="4" t="s">
        <v>6</v>
      </c>
    </row>
    <row r="44" spans="1:14" ht="12.75">
      <c r="A44" s="4">
        <v>50</v>
      </c>
      <c r="B44" s="4">
        <v>0</v>
      </c>
      <c r="C44" s="4">
        <v>0</v>
      </c>
      <c r="D44" s="4">
        <v>1</v>
      </c>
      <c r="E44" s="4">
        <v>206</v>
      </c>
      <c r="F44" s="4">
        <f>Source!T37</f>
        <v>0</v>
      </c>
      <c r="G44" s="4" t="s">
        <v>88</v>
      </c>
      <c r="H44" s="4" t="s">
        <v>89</v>
      </c>
      <c r="I44" s="4"/>
      <c r="J44" s="4"/>
      <c r="K44" s="4">
        <v>206</v>
      </c>
      <c r="L44" s="4">
        <v>6</v>
      </c>
      <c r="M44" s="4">
        <v>3</v>
      </c>
      <c r="N44" s="4" t="s">
        <v>6</v>
      </c>
    </row>
    <row r="45" spans="1:14" ht="12.75">
      <c r="A45" s="4">
        <v>50</v>
      </c>
      <c r="B45" s="4">
        <v>0</v>
      </c>
      <c r="C45" s="4">
        <v>0</v>
      </c>
      <c r="D45" s="4">
        <v>1</v>
      </c>
      <c r="E45" s="4">
        <v>207</v>
      </c>
      <c r="F45" s="4">
        <f>Source!U37</f>
        <v>2823.29</v>
      </c>
      <c r="G45" s="4" t="s">
        <v>90</v>
      </c>
      <c r="H45" s="4" t="s">
        <v>91</v>
      </c>
      <c r="I45" s="4"/>
      <c r="J45" s="4"/>
      <c r="K45" s="4">
        <v>207</v>
      </c>
      <c r="L45" s="4">
        <v>7</v>
      </c>
      <c r="M45" s="4">
        <v>3</v>
      </c>
      <c r="N45" s="4" t="s">
        <v>6</v>
      </c>
    </row>
    <row r="46" spans="1:14" ht="12.75">
      <c r="A46" s="4">
        <v>50</v>
      </c>
      <c r="B46" s="4">
        <v>0</v>
      </c>
      <c r="C46" s="4">
        <v>0</v>
      </c>
      <c r="D46" s="4">
        <v>1</v>
      </c>
      <c r="E46" s="4">
        <v>208</v>
      </c>
      <c r="F46" s="4">
        <f>Source!V37</f>
        <v>354.65</v>
      </c>
      <c r="G46" s="4" t="s">
        <v>92</v>
      </c>
      <c r="H46" s="4" t="s">
        <v>93</v>
      </c>
      <c r="I46" s="4"/>
      <c r="J46" s="4"/>
      <c r="K46" s="4">
        <v>208</v>
      </c>
      <c r="L46" s="4">
        <v>8</v>
      </c>
      <c r="M46" s="4">
        <v>3</v>
      </c>
      <c r="N46" s="4" t="s">
        <v>6</v>
      </c>
    </row>
    <row r="47" spans="1:14" ht="12.75">
      <c r="A47" s="4">
        <v>50</v>
      </c>
      <c r="B47" s="4">
        <v>0</v>
      </c>
      <c r="C47" s="4">
        <v>0</v>
      </c>
      <c r="D47" s="4">
        <v>1</v>
      </c>
      <c r="E47" s="4">
        <v>209</v>
      </c>
      <c r="F47" s="4">
        <f>Source!W37</f>
        <v>0</v>
      </c>
      <c r="G47" s="4" t="s">
        <v>94</v>
      </c>
      <c r="H47" s="4" t="s">
        <v>95</v>
      </c>
      <c r="I47" s="4"/>
      <c r="J47" s="4"/>
      <c r="K47" s="4">
        <v>209</v>
      </c>
      <c r="L47" s="4">
        <v>9</v>
      </c>
      <c r="M47" s="4">
        <v>3</v>
      </c>
      <c r="N47" s="4" t="s">
        <v>6</v>
      </c>
    </row>
    <row r="48" spans="1:14" ht="12.75">
      <c r="A48" s="4">
        <v>50</v>
      </c>
      <c r="B48" s="4">
        <v>0</v>
      </c>
      <c r="C48" s="4">
        <v>0</v>
      </c>
      <c r="D48" s="4">
        <v>1</v>
      </c>
      <c r="E48" s="4">
        <v>210</v>
      </c>
      <c r="F48" s="4">
        <f>Source!X37</f>
        <v>435784.77</v>
      </c>
      <c r="G48" s="4" t="s">
        <v>96</v>
      </c>
      <c r="H48" s="4" t="s">
        <v>97</v>
      </c>
      <c r="I48" s="4"/>
      <c r="J48" s="4"/>
      <c r="K48" s="4">
        <v>210</v>
      </c>
      <c r="L48" s="4">
        <v>10</v>
      </c>
      <c r="M48" s="4">
        <v>3</v>
      </c>
      <c r="N48" s="4" t="s">
        <v>6</v>
      </c>
    </row>
    <row r="49" spans="1:14" ht="12.75">
      <c r="A49" s="4">
        <v>50</v>
      </c>
      <c r="B49" s="4">
        <v>0</v>
      </c>
      <c r="C49" s="4">
        <v>0</v>
      </c>
      <c r="D49" s="4">
        <v>1</v>
      </c>
      <c r="E49" s="4">
        <v>211</v>
      </c>
      <c r="F49" s="4">
        <f>Source!Y37</f>
        <v>294246.22</v>
      </c>
      <c r="G49" s="4" t="s">
        <v>98</v>
      </c>
      <c r="H49" s="4" t="s">
        <v>99</v>
      </c>
      <c r="I49" s="4"/>
      <c r="J49" s="4"/>
      <c r="K49" s="4">
        <v>211</v>
      </c>
      <c r="L49" s="4">
        <v>11</v>
      </c>
      <c r="M49" s="4">
        <v>3</v>
      </c>
      <c r="N49" s="4" t="s">
        <v>6</v>
      </c>
    </row>
    <row r="50" spans="1:14" ht="12.75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f>ROUND(Source!F39+Source!F48+Source!F49,2)</f>
        <v>2344943.77</v>
      </c>
      <c r="G50" s="4" t="s">
        <v>100</v>
      </c>
      <c r="H50" s="4" t="s">
        <v>100</v>
      </c>
      <c r="I50" s="4"/>
      <c r="J50" s="4"/>
      <c r="K50" s="4">
        <v>212</v>
      </c>
      <c r="L50" s="4">
        <v>12</v>
      </c>
      <c r="M50" s="4">
        <v>0</v>
      </c>
      <c r="N50" s="4" t="s">
        <v>6</v>
      </c>
    </row>
    <row r="51" spans="1:14" ht="12.75">
      <c r="A51" s="4">
        <v>50</v>
      </c>
      <c r="B51" s="4">
        <v>1</v>
      </c>
      <c r="C51" s="4">
        <v>0</v>
      </c>
      <c r="D51" s="4">
        <v>2</v>
      </c>
      <c r="E51" s="4">
        <v>0</v>
      </c>
      <c r="F51" s="4">
        <f>ROUND(Source!F50*0.018,2)</f>
        <v>42208.99</v>
      </c>
      <c r="G51" s="4" t="s">
        <v>101</v>
      </c>
      <c r="H51" s="4" t="s">
        <v>102</v>
      </c>
      <c r="I51" s="4"/>
      <c r="J51" s="4"/>
      <c r="K51" s="4">
        <v>212</v>
      </c>
      <c r="L51" s="4">
        <v>13</v>
      </c>
      <c r="M51" s="4">
        <v>0</v>
      </c>
      <c r="N51" s="4" t="s">
        <v>6</v>
      </c>
    </row>
    <row r="52" spans="1:14" ht="12.75">
      <c r="A52" s="4">
        <v>50</v>
      </c>
      <c r="B52" s="4">
        <v>1</v>
      </c>
      <c r="C52" s="4">
        <v>0</v>
      </c>
      <c r="D52" s="4">
        <v>2</v>
      </c>
      <c r="E52" s="4">
        <v>0</v>
      </c>
      <c r="F52" s="4">
        <f>ROUND(Source!F50+Source!F51,2)</f>
        <v>2387152.76</v>
      </c>
      <c r="G52" s="4" t="s">
        <v>103</v>
      </c>
      <c r="H52" s="4" t="s">
        <v>104</v>
      </c>
      <c r="I52" s="4"/>
      <c r="J52" s="4"/>
      <c r="K52" s="4">
        <v>212</v>
      </c>
      <c r="L52" s="4">
        <v>14</v>
      </c>
      <c r="M52" s="4">
        <v>0</v>
      </c>
      <c r="N52" s="4" t="s">
        <v>6</v>
      </c>
    </row>
    <row r="53" spans="1:14" ht="12.75">
      <c r="A53" s="4">
        <v>50</v>
      </c>
      <c r="B53" s="4">
        <v>1</v>
      </c>
      <c r="C53" s="4">
        <v>0</v>
      </c>
      <c r="D53" s="4">
        <v>2</v>
      </c>
      <c r="E53" s="4">
        <v>0</v>
      </c>
      <c r="F53" s="4">
        <f>ROUND(Source!F52*0.03,2)</f>
        <v>71614.58</v>
      </c>
      <c r="G53" s="4" t="s">
        <v>105</v>
      </c>
      <c r="H53" s="4" t="s">
        <v>106</v>
      </c>
      <c r="I53" s="4"/>
      <c r="J53" s="4"/>
      <c r="K53" s="4">
        <v>212</v>
      </c>
      <c r="L53" s="4">
        <v>15</v>
      </c>
      <c r="M53" s="4">
        <v>0</v>
      </c>
      <c r="N53" s="4" t="s">
        <v>6</v>
      </c>
    </row>
    <row r="54" spans="1:14" ht="12.75">
      <c r="A54" s="4">
        <v>50</v>
      </c>
      <c r="B54" s="4">
        <v>1</v>
      </c>
      <c r="C54" s="4">
        <v>0</v>
      </c>
      <c r="D54" s="4">
        <v>2</v>
      </c>
      <c r="E54" s="4">
        <v>0</v>
      </c>
      <c r="F54" s="4">
        <f>ROUND(Source!F52-Source!F53,2)</f>
        <v>2315538.18</v>
      </c>
      <c r="G54" s="4" t="s">
        <v>107</v>
      </c>
      <c r="H54" s="4" t="s">
        <v>108</v>
      </c>
      <c r="I54" s="4"/>
      <c r="J54" s="4"/>
      <c r="K54" s="4">
        <v>212</v>
      </c>
      <c r="L54" s="4">
        <v>16</v>
      </c>
      <c r="M54" s="4">
        <v>0</v>
      </c>
      <c r="N54" s="4" t="s">
        <v>6</v>
      </c>
    </row>
    <row r="55" spans="1:14" ht="12.75">
      <c r="A55" s="4">
        <v>50</v>
      </c>
      <c r="B55" s="4">
        <v>1</v>
      </c>
      <c r="C55" s="4">
        <v>0</v>
      </c>
      <c r="D55" s="4">
        <v>2</v>
      </c>
      <c r="E55" s="4">
        <v>0</v>
      </c>
      <c r="F55" s="4">
        <v>0</v>
      </c>
      <c r="G55" s="4" t="s">
        <v>109</v>
      </c>
      <c r="H55" s="4" t="s">
        <v>110</v>
      </c>
      <c r="I55" s="4"/>
      <c r="J55" s="4"/>
      <c r="K55" s="4">
        <v>212</v>
      </c>
      <c r="L55" s="4">
        <v>17</v>
      </c>
      <c r="M55" s="4">
        <v>0</v>
      </c>
      <c r="N55" s="4" t="s">
        <v>6</v>
      </c>
    </row>
    <row r="56" spans="1:14" ht="12.75">
      <c r="A56" s="4">
        <v>50</v>
      </c>
      <c r="B56" s="4">
        <v>1</v>
      </c>
      <c r="C56" s="4">
        <v>0</v>
      </c>
      <c r="D56" s="4">
        <v>2</v>
      </c>
      <c r="E56" s="4">
        <v>0</v>
      </c>
      <c r="F56" s="4">
        <f>ROUND(Source!F54+Source!F55,2)</f>
        <v>2315538.18</v>
      </c>
      <c r="G56" s="4" t="s">
        <v>111</v>
      </c>
      <c r="H56" s="4" t="s">
        <v>112</v>
      </c>
      <c r="I56" s="4"/>
      <c r="J56" s="4"/>
      <c r="K56" s="4">
        <v>212</v>
      </c>
      <c r="L56" s="4">
        <v>18</v>
      </c>
      <c r="M56" s="4">
        <v>0</v>
      </c>
      <c r="N56" s="4" t="s">
        <v>6</v>
      </c>
    </row>
    <row r="57" spans="1:14" ht="12.75">
      <c r="A57" s="4">
        <v>50</v>
      </c>
      <c r="B57" s="4">
        <v>1</v>
      </c>
      <c r="C57" s="4">
        <v>0</v>
      </c>
      <c r="D57" s="4">
        <v>2</v>
      </c>
      <c r="E57" s="4">
        <v>0</v>
      </c>
      <c r="F57" s="4">
        <f>ROUND(Source!F56*0.18,2)</f>
        <v>416796.87</v>
      </c>
      <c r="G57" s="4" t="s">
        <v>113</v>
      </c>
      <c r="H57" s="4" t="s">
        <v>114</v>
      </c>
      <c r="I57" s="4"/>
      <c r="J57" s="4"/>
      <c r="K57" s="4">
        <v>212</v>
      </c>
      <c r="L57" s="4">
        <v>19</v>
      </c>
      <c r="M57" s="4">
        <v>0</v>
      </c>
      <c r="N57" s="4" t="s">
        <v>6</v>
      </c>
    </row>
    <row r="58" spans="1:14" ht="12.75">
      <c r="A58" s="4">
        <v>50</v>
      </c>
      <c r="B58" s="4">
        <v>1</v>
      </c>
      <c r="C58" s="4">
        <v>0</v>
      </c>
      <c r="D58" s="4">
        <v>2</v>
      </c>
      <c r="E58" s="4">
        <v>0</v>
      </c>
      <c r="F58" s="4">
        <f>ROUND(Source!F56+Source!F57,2)</f>
        <v>2732335.05</v>
      </c>
      <c r="G58" s="4" t="s">
        <v>115</v>
      </c>
      <c r="H58" s="4" t="s">
        <v>116</v>
      </c>
      <c r="I58" s="4"/>
      <c r="J58" s="4"/>
      <c r="K58" s="4">
        <v>212</v>
      </c>
      <c r="L58" s="4">
        <v>20</v>
      </c>
      <c r="M58" s="4">
        <v>0</v>
      </c>
      <c r="N58" s="4" t="s">
        <v>6</v>
      </c>
    </row>
    <row r="60" spans="1:39" ht="12.75">
      <c r="A60" s="3">
        <v>51</v>
      </c>
      <c r="B60" s="3">
        <f>B12</f>
        <v>1</v>
      </c>
      <c r="C60" s="3">
        <f>A12</f>
        <v>1</v>
      </c>
      <c r="D60" s="3">
        <f>ROW(A12)</f>
        <v>12</v>
      </c>
      <c r="E60" s="3"/>
      <c r="F60" s="3" t="str">
        <f>IF(F12&lt;&gt;"",F12,"")</f>
        <v>Новый объект</v>
      </c>
      <c r="G60" s="3" t="str">
        <f>IF(G12&lt;&gt;"",G12,"")</f>
        <v>Устройство полимерных полов</v>
      </c>
      <c r="H60" s="3"/>
      <c r="I60" s="3"/>
      <c r="J60" s="3"/>
      <c r="K60" s="3"/>
      <c r="L60" s="3"/>
      <c r="M60" s="3"/>
      <c r="N60" s="3"/>
      <c r="O60" s="3">
        <f aca="true" t="shared" si="33" ref="O60:Y60">ROUND(O37,2)</f>
        <v>1614912.78</v>
      </c>
      <c r="P60" s="3">
        <f t="shared" si="33"/>
        <v>1119267.6</v>
      </c>
      <c r="Q60" s="3">
        <f t="shared" si="33"/>
        <v>141680.44</v>
      </c>
      <c r="R60" s="3">
        <f t="shared" si="33"/>
        <v>42860.51</v>
      </c>
      <c r="S60" s="3">
        <f t="shared" si="33"/>
        <v>353964.74</v>
      </c>
      <c r="T60" s="3">
        <f t="shared" si="33"/>
        <v>0</v>
      </c>
      <c r="U60" s="3">
        <f t="shared" si="33"/>
        <v>2823.29</v>
      </c>
      <c r="V60" s="3">
        <f t="shared" si="33"/>
        <v>354.65</v>
      </c>
      <c r="W60" s="3">
        <f t="shared" si="33"/>
        <v>0</v>
      </c>
      <c r="X60" s="3">
        <f t="shared" si="33"/>
        <v>435784.77</v>
      </c>
      <c r="Y60" s="3">
        <f t="shared" si="33"/>
        <v>294246.22</v>
      </c>
      <c r="Z60" s="3"/>
      <c r="AA60" s="3"/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</row>
    <row r="62" spans="1:14" ht="12.75">
      <c r="A62" s="4">
        <v>50</v>
      </c>
      <c r="B62" s="4">
        <v>0</v>
      </c>
      <c r="C62" s="4">
        <v>0</v>
      </c>
      <c r="D62" s="4">
        <v>1</v>
      </c>
      <c r="E62" s="4">
        <v>201</v>
      </c>
      <c r="F62" s="4">
        <f>Source!O60</f>
        <v>1614912.78</v>
      </c>
      <c r="G62" s="4" t="s">
        <v>78</v>
      </c>
      <c r="H62" s="4" t="s">
        <v>79</v>
      </c>
      <c r="I62" s="4"/>
      <c r="J62" s="4"/>
      <c r="K62" s="4">
        <v>201</v>
      </c>
      <c r="L62" s="4">
        <v>1</v>
      </c>
      <c r="M62" s="4">
        <v>3</v>
      </c>
      <c r="N62" s="4" t="s">
        <v>6</v>
      </c>
    </row>
    <row r="63" spans="1:14" ht="12.75">
      <c r="A63" s="4">
        <v>50</v>
      </c>
      <c r="B63" s="4">
        <v>0</v>
      </c>
      <c r="C63" s="4">
        <v>0</v>
      </c>
      <c r="D63" s="4">
        <v>1</v>
      </c>
      <c r="E63" s="4">
        <v>202</v>
      </c>
      <c r="F63" s="4">
        <f>Source!P60</f>
        <v>1119267.6</v>
      </c>
      <c r="G63" s="4" t="s">
        <v>80</v>
      </c>
      <c r="H63" s="4" t="s">
        <v>81</v>
      </c>
      <c r="I63" s="4"/>
      <c r="J63" s="4"/>
      <c r="K63" s="4">
        <v>202</v>
      </c>
      <c r="L63" s="4">
        <v>2</v>
      </c>
      <c r="M63" s="4">
        <v>3</v>
      </c>
      <c r="N63" s="4" t="s">
        <v>6</v>
      </c>
    </row>
    <row r="64" spans="1:14" ht="12.75">
      <c r="A64" s="4">
        <v>50</v>
      </c>
      <c r="B64" s="4">
        <v>0</v>
      </c>
      <c r="C64" s="4">
        <v>0</v>
      </c>
      <c r="D64" s="4">
        <v>1</v>
      </c>
      <c r="E64" s="4">
        <v>203</v>
      </c>
      <c r="F64" s="4">
        <f>Source!Q60</f>
        <v>141680.44</v>
      </c>
      <c r="G64" s="4" t="s">
        <v>82</v>
      </c>
      <c r="H64" s="4" t="s">
        <v>83</v>
      </c>
      <c r="I64" s="4"/>
      <c r="J64" s="4"/>
      <c r="K64" s="4">
        <v>203</v>
      </c>
      <c r="L64" s="4">
        <v>3</v>
      </c>
      <c r="M64" s="4">
        <v>3</v>
      </c>
      <c r="N64" s="4" t="s">
        <v>6</v>
      </c>
    </row>
    <row r="65" spans="1:14" ht="12.75">
      <c r="A65" s="4">
        <v>50</v>
      </c>
      <c r="B65" s="4">
        <v>0</v>
      </c>
      <c r="C65" s="4">
        <v>0</v>
      </c>
      <c r="D65" s="4">
        <v>1</v>
      </c>
      <c r="E65" s="4">
        <v>204</v>
      </c>
      <c r="F65" s="4">
        <f>Source!R60</f>
        <v>42860.51</v>
      </c>
      <c r="G65" s="4" t="s">
        <v>84</v>
      </c>
      <c r="H65" s="4" t="s">
        <v>85</v>
      </c>
      <c r="I65" s="4"/>
      <c r="J65" s="4"/>
      <c r="K65" s="4">
        <v>204</v>
      </c>
      <c r="L65" s="4">
        <v>4</v>
      </c>
      <c r="M65" s="4">
        <v>3</v>
      </c>
      <c r="N65" s="4" t="s">
        <v>6</v>
      </c>
    </row>
    <row r="66" spans="1:14" ht="12.75">
      <c r="A66" s="4">
        <v>50</v>
      </c>
      <c r="B66" s="4">
        <v>0</v>
      </c>
      <c r="C66" s="4">
        <v>0</v>
      </c>
      <c r="D66" s="4">
        <v>1</v>
      </c>
      <c r="E66" s="4">
        <v>205</v>
      </c>
      <c r="F66" s="4">
        <f>Source!S60</f>
        <v>353964.74</v>
      </c>
      <c r="G66" s="4" t="s">
        <v>86</v>
      </c>
      <c r="H66" s="4" t="s">
        <v>87</v>
      </c>
      <c r="I66" s="4"/>
      <c r="J66" s="4"/>
      <c r="K66" s="4">
        <v>205</v>
      </c>
      <c r="L66" s="4">
        <v>5</v>
      </c>
      <c r="M66" s="4">
        <v>3</v>
      </c>
      <c r="N66" s="4" t="s">
        <v>6</v>
      </c>
    </row>
    <row r="67" spans="1:14" ht="12.75">
      <c r="A67" s="4">
        <v>50</v>
      </c>
      <c r="B67" s="4">
        <v>0</v>
      </c>
      <c r="C67" s="4">
        <v>0</v>
      </c>
      <c r="D67" s="4">
        <v>1</v>
      </c>
      <c r="E67" s="4">
        <v>206</v>
      </c>
      <c r="F67" s="4">
        <f>Source!T60</f>
        <v>0</v>
      </c>
      <c r="G67" s="4" t="s">
        <v>88</v>
      </c>
      <c r="H67" s="4" t="s">
        <v>89</v>
      </c>
      <c r="I67" s="4"/>
      <c r="J67" s="4"/>
      <c r="K67" s="4">
        <v>206</v>
      </c>
      <c r="L67" s="4">
        <v>6</v>
      </c>
      <c r="M67" s="4">
        <v>3</v>
      </c>
      <c r="N67" s="4" t="s">
        <v>6</v>
      </c>
    </row>
    <row r="68" spans="1:14" ht="12.75">
      <c r="A68" s="4">
        <v>50</v>
      </c>
      <c r="B68" s="4">
        <v>0</v>
      </c>
      <c r="C68" s="4">
        <v>0</v>
      </c>
      <c r="D68" s="4">
        <v>1</v>
      </c>
      <c r="E68" s="4">
        <v>207</v>
      </c>
      <c r="F68" s="4">
        <f>Source!U60</f>
        <v>2823.29</v>
      </c>
      <c r="G68" s="4" t="s">
        <v>90</v>
      </c>
      <c r="H68" s="4" t="s">
        <v>91</v>
      </c>
      <c r="I68" s="4"/>
      <c r="J68" s="4"/>
      <c r="K68" s="4">
        <v>207</v>
      </c>
      <c r="L68" s="4">
        <v>7</v>
      </c>
      <c r="M68" s="4">
        <v>3</v>
      </c>
      <c r="N68" s="4" t="s">
        <v>6</v>
      </c>
    </row>
    <row r="69" spans="1:14" ht="12.75">
      <c r="A69" s="4">
        <v>50</v>
      </c>
      <c r="B69" s="4">
        <v>0</v>
      </c>
      <c r="C69" s="4">
        <v>0</v>
      </c>
      <c r="D69" s="4">
        <v>1</v>
      </c>
      <c r="E69" s="4">
        <v>208</v>
      </c>
      <c r="F69" s="4">
        <f>Source!V60</f>
        <v>354.65</v>
      </c>
      <c r="G69" s="4" t="s">
        <v>92</v>
      </c>
      <c r="H69" s="4" t="s">
        <v>93</v>
      </c>
      <c r="I69" s="4"/>
      <c r="J69" s="4"/>
      <c r="K69" s="4">
        <v>208</v>
      </c>
      <c r="L69" s="4">
        <v>8</v>
      </c>
      <c r="M69" s="4">
        <v>3</v>
      </c>
      <c r="N69" s="4" t="s">
        <v>6</v>
      </c>
    </row>
    <row r="70" spans="1:14" ht="12.75">
      <c r="A70" s="4">
        <v>50</v>
      </c>
      <c r="B70" s="4">
        <v>0</v>
      </c>
      <c r="C70" s="4">
        <v>0</v>
      </c>
      <c r="D70" s="4">
        <v>1</v>
      </c>
      <c r="E70" s="4">
        <v>209</v>
      </c>
      <c r="F70" s="4">
        <f>Source!W60</f>
        <v>0</v>
      </c>
      <c r="G70" s="4" t="s">
        <v>94</v>
      </c>
      <c r="H70" s="4" t="s">
        <v>95</v>
      </c>
      <c r="I70" s="4"/>
      <c r="J70" s="4"/>
      <c r="K70" s="4">
        <v>209</v>
      </c>
      <c r="L70" s="4">
        <v>9</v>
      </c>
      <c r="M70" s="4">
        <v>3</v>
      </c>
      <c r="N70" s="4" t="s">
        <v>6</v>
      </c>
    </row>
    <row r="71" spans="1:14" ht="12.75">
      <c r="A71" s="4">
        <v>50</v>
      </c>
      <c r="B71" s="4">
        <v>0</v>
      </c>
      <c r="C71" s="4">
        <v>0</v>
      </c>
      <c r="D71" s="4">
        <v>1</v>
      </c>
      <c r="E71" s="4">
        <v>210</v>
      </c>
      <c r="F71" s="4">
        <f>Source!X60</f>
        <v>435784.77</v>
      </c>
      <c r="G71" s="4" t="s">
        <v>96</v>
      </c>
      <c r="H71" s="4" t="s">
        <v>97</v>
      </c>
      <c r="I71" s="4"/>
      <c r="J71" s="4"/>
      <c r="K71" s="4">
        <v>210</v>
      </c>
      <c r="L71" s="4">
        <v>10</v>
      </c>
      <c r="M71" s="4">
        <v>3</v>
      </c>
      <c r="N71" s="4" t="s">
        <v>6</v>
      </c>
    </row>
    <row r="72" spans="1:14" ht="12.75">
      <c r="A72" s="4">
        <v>50</v>
      </c>
      <c r="B72" s="4">
        <v>0</v>
      </c>
      <c r="C72" s="4">
        <v>0</v>
      </c>
      <c r="D72" s="4">
        <v>1</v>
      </c>
      <c r="E72" s="4">
        <v>211</v>
      </c>
      <c r="F72" s="4">
        <f>Source!Y60</f>
        <v>294246.22</v>
      </c>
      <c r="G72" s="4" t="s">
        <v>98</v>
      </c>
      <c r="H72" s="4" t="s">
        <v>99</v>
      </c>
      <c r="I72" s="4"/>
      <c r="J72" s="4"/>
      <c r="K72" s="4">
        <v>211</v>
      </c>
      <c r="L72" s="4">
        <v>11</v>
      </c>
      <c r="M72" s="4">
        <v>3</v>
      </c>
      <c r="N72" s="4" t="s">
        <v>6</v>
      </c>
    </row>
    <row r="73" spans="1:14" ht="12.75">
      <c r="A73" s="4">
        <v>50</v>
      </c>
      <c r="B73" s="4">
        <v>1</v>
      </c>
      <c r="C73" s="4">
        <v>0</v>
      </c>
      <c r="D73" s="4">
        <v>2</v>
      </c>
      <c r="E73" s="4">
        <v>0</v>
      </c>
      <c r="F73" s="4">
        <f>ROUND(Source!F62+Source!F71+Source!F72,2)</f>
        <v>2344943.77</v>
      </c>
      <c r="G73" s="4" t="s">
        <v>100</v>
      </c>
      <c r="H73" s="4" t="s">
        <v>100</v>
      </c>
      <c r="I73" s="4"/>
      <c r="J73" s="4"/>
      <c r="K73" s="4">
        <v>212</v>
      </c>
      <c r="L73" s="4">
        <v>12</v>
      </c>
      <c r="M73" s="4">
        <v>0</v>
      </c>
      <c r="N73" s="4" t="s">
        <v>6</v>
      </c>
    </row>
    <row r="74" spans="1:14" ht="12.75">
      <c r="A74" s="4">
        <v>50</v>
      </c>
      <c r="B74" s="4">
        <v>1</v>
      </c>
      <c r="C74" s="4">
        <v>0</v>
      </c>
      <c r="D74" s="4">
        <v>2</v>
      </c>
      <c r="E74" s="4">
        <v>0</v>
      </c>
      <c r="F74" s="4">
        <f>ROUND(Source!F73*0.018,2)</f>
        <v>42208.99</v>
      </c>
      <c r="G74" s="4" t="s">
        <v>101</v>
      </c>
      <c r="H74" s="4" t="s">
        <v>102</v>
      </c>
      <c r="I74" s="4"/>
      <c r="J74" s="4"/>
      <c r="K74" s="4">
        <v>212</v>
      </c>
      <c r="L74" s="4">
        <v>13</v>
      </c>
      <c r="M74" s="4">
        <v>0</v>
      </c>
      <c r="N74" s="4" t="s">
        <v>6</v>
      </c>
    </row>
    <row r="75" spans="1:14" ht="12.75">
      <c r="A75" s="4">
        <v>50</v>
      </c>
      <c r="B75" s="4">
        <v>1</v>
      </c>
      <c r="C75" s="4">
        <v>0</v>
      </c>
      <c r="D75" s="4">
        <v>2</v>
      </c>
      <c r="E75" s="4">
        <v>0</v>
      </c>
      <c r="F75" s="4">
        <f>ROUND(Source!F73+Source!F74,2)</f>
        <v>2387152.76</v>
      </c>
      <c r="G75" s="4" t="s">
        <v>103</v>
      </c>
      <c r="H75" s="4" t="s">
        <v>104</v>
      </c>
      <c r="I75" s="4"/>
      <c r="J75" s="4"/>
      <c r="K75" s="4">
        <v>212</v>
      </c>
      <c r="L75" s="4">
        <v>14</v>
      </c>
      <c r="M75" s="4">
        <v>0</v>
      </c>
      <c r="N75" s="4" t="s">
        <v>6</v>
      </c>
    </row>
    <row r="76" spans="1:14" ht="12.75">
      <c r="A76" s="4">
        <v>50</v>
      </c>
      <c r="B76" s="4">
        <v>1</v>
      </c>
      <c r="C76" s="4">
        <v>0</v>
      </c>
      <c r="D76" s="4">
        <v>2</v>
      </c>
      <c r="E76" s="4">
        <v>0</v>
      </c>
      <c r="F76" s="4">
        <f>ROUND(Source!F75*0.03,2)</f>
        <v>71614.58</v>
      </c>
      <c r="G76" s="4" t="s">
        <v>105</v>
      </c>
      <c r="H76" s="4" t="s">
        <v>106</v>
      </c>
      <c r="I76" s="4"/>
      <c r="J76" s="4"/>
      <c r="K76" s="4">
        <v>212</v>
      </c>
      <c r="L76" s="4">
        <v>15</v>
      </c>
      <c r="M76" s="4">
        <v>0</v>
      </c>
      <c r="N76" s="4" t="s">
        <v>6</v>
      </c>
    </row>
    <row r="77" spans="1:14" ht="12.75">
      <c r="A77" s="4">
        <v>50</v>
      </c>
      <c r="B77" s="4">
        <v>1</v>
      </c>
      <c r="C77" s="4">
        <v>0</v>
      </c>
      <c r="D77" s="4">
        <v>2</v>
      </c>
      <c r="E77" s="4">
        <v>0</v>
      </c>
      <c r="F77" s="4">
        <f>ROUND(Source!F75-Source!F76,2)</f>
        <v>2315538.18</v>
      </c>
      <c r="G77" s="4" t="s">
        <v>107</v>
      </c>
      <c r="H77" s="4" t="s">
        <v>108</v>
      </c>
      <c r="I77" s="4"/>
      <c r="J77" s="4"/>
      <c r="K77" s="4">
        <v>212</v>
      </c>
      <c r="L77" s="4">
        <v>16</v>
      </c>
      <c r="M77" s="4">
        <v>0</v>
      </c>
      <c r="N77" s="4" t="s">
        <v>6</v>
      </c>
    </row>
    <row r="78" spans="1:14" ht="12.75">
      <c r="A78" s="4">
        <v>50</v>
      </c>
      <c r="B78" s="4">
        <v>1</v>
      </c>
      <c r="C78" s="4">
        <v>0</v>
      </c>
      <c r="D78" s="4">
        <v>2</v>
      </c>
      <c r="E78" s="4">
        <v>0</v>
      </c>
      <c r="F78" s="4">
        <v>0</v>
      </c>
      <c r="G78" s="4" t="s">
        <v>109</v>
      </c>
      <c r="H78" s="4" t="s">
        <v>110</v>
      </c>
      <c r="I78" s="4"/>
      <c r="J78" s="4"/>
      <c r="K78" s="4">
        <v>212</v>
      </c>
      <c r="L78" s="4">
        <v>17</v>
      </c>
      <c r="M78" s="4">
        <v>0</v>
      </c>
      <c r="N78" s="4" t="s">
        <v>6</v>
      </c>
    </row>
    <row r="79" spans="1:14" ht="12.75">
      <c r="A79" s="4">
        <v>50</v>
      </c>
      <c r="B79" s="4">
        <v>1</v>
      </c>
      <c r="C79" s="4">
        <v>0</v>
      </c>
      <c r="D79" s="4">
        <v>2</v>
      </c>
      <c r="E79" s="4">
        <v>0</v>
      </c>
      <c r="F79" s="4">
        <f>ROUND(Source!F77+Source!F78,2)</f>
        <v>2315538.18</v>
      </c>
      <c r="G79" s="4" t="s">
        <v>111</v>
      </c>
      <c r="H79" s="4" t="s">
        <v>112</v>
      </c>
      <c r="I79" s="4"/>
      <c r="J79" s="4"/>
      <c r="K79" s="4">
        <v>212</v>
      </c>
      <c r="L79" s="4">
        <v>18</v>
      </c>
      <c r="M79" s="4">
        <v>0</v>
      </c>
      <c r="N79" s="4" t="s">
        <v>6</v>
      </c>
    </row>
    <row r="80" spans="1:14" ht="12.75">
      <c r="A80" s="4">
        <v>50</v>
      </c>
      <c r="B80" s="4">
        <v>1</v>
      </c>
      <c r="C80" s="4">
        <v>0</v>
      </c>
      <c r="D80" s="4">
        <v>2</v>
      </c>
      <c r="E80" s="4">
        <v>0</v>
      </c>
      <c r="F80" s="4">
        <f>ROUND(Source!F79*0.18,2)</f>
        <v>416796.87</v>
      </c>
      <c r="G80" s="4" t="s">
        <v>113</v>
      </c>
      <c r="H80" s="4" t="s">
        <v>114</v>
      </c>
      <c r="I80" s="4"/>
      <c r="J80" s="4"/>
      <c r="K80" s="4">
        <v>212</v>
      </c>
      <c r="L80" s="4">
        <v>19</v>
      </c>
      <c r="M80" s="4">
        <v>0</v>
      </c>
      <c r="N80" s="4" t="s">
        <v>6</v>
      </c>
    </row>
    <row r="81" spans="1:14" ht="12.75">
      <c r="A81" s="4">
        <v>50</v>
      </c>
      <c r="B81" s="4">
        <v>1</v>
      </c>
      <c r="C81" s="4">
        <v>0</v>
      </c>
      <c r="D81" s="4">
        <v>2</v>
      </c>
      <c r="E81" s="4">
        <v>0</v>
      </c>
      <c r="F81" s="4">
        <f>ROUND(Source!F79+Source!F80,2)</f>
        <v>2732335.05</v>
      </c>
      <c r="G81" s="4" t="s">
        <v>115</v>
      </c>
      <c r="H81" s="4" t="s">
        <v>116</v>
      </c>
      <c r="I81" s="4"/>
      <c r="J81" s="4"/>
      <c r="K81" s="4">
        <v>212</v>
      </c>
      <c r="L81" s="4">
        <v>20</v>
      </c>
      <c r="M81" s="4">
        <v>0</v>
      </c>
      <c r="N81" s="4" t="s">
        <v>6</v>
      </c>
    </row>
    <row r="85" spans="1:5" ht="12.75">
      <c r="A85">
        <v>65</v>
      </c>
      <c r="C85">
        <v>1</v>
      </c>
      <c r="D85">
        <v>0</v>
      </c>
      <c r="E85">
        <v>150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ROW(Source!A24)</f>
        <v>24</v>
      </c>
      <c r="B1">
        <v>9796509</v>
      </c>
      <c r="C1">
        <v>9796508</v>
      </c>
      <c r="D1">
        <v>4924939</v>
      </c>
      <c r="E1">
        <v>1</v>
      </c>
      <c r="F1">
        <v>1</v>
      </c>
      <c r="G1">
        <v>1</v>
      </c>
      <c r="H1">
        <v>1</v>
      </c>
      <c r="I1" t="s">
        <v>117</v>
      </c>
      <c r="K1" t="s">
        <v>118</v>
      </c>
      <c r="L1">
        <v>1369</v>
      </c>
      <c r="N1">
        <v>1013</v>
      </c>
      <c r="O1" t="s">
        <v>119</v>
      </c>
      <c r="P1" t="s">
        <v>119</v>
      </c>
      <c r="Q1">
        <v>1</v>
      </c>
      <c r="Y1">
        <v>0.1</v>
      </c>
      <c r="AA1">
        <v>0</v>
      </c>
      <c r="AB1">
        <v>0</v>
      </c>
      <c r="AC1">
        <v>0</v>
      </c>
      <c r="AD1">
        <v>8.53</v>
      </c>
      <c r="AN1">
        <v>0</v>
      </c>
      <c r="AO1">
        <v>1</v>
      </c>
      <c r="AP1">
        <v>0</v>
      </c>
      <c r="AQ1">
        <v>0</v>
      </c>
      <c r="AR1">
        <v>0</v>
      </c>
      <c r="AT1">
        <v>0.1</v>
      </c>
      <c r="AV1">
        <v>0</v>
      </c>
    </row>
    <row r="2" spans="1:48" ht="12.75">
      <c r="A2">
        <f>ROW(Source!A24)</f>
        <v>24</v>
      </c>
      <c r="B2">
        <v>9796510</v>
      </c>
      <c r="C2">
        <v>9796508</v>
      </c>
      <c r="D2">
        <v>4906127</v>
      </c>
      <c r="E2">
        <v>1</v>
      </c>
      <c r="F2">
        <v>1</v>
      </c>
      <c r="G2">
        <v>1</v>
      </c>
      <c r="H2">
        <v>2</v>
      </c>
      <c r="I2" t="s">
        <v>120</v>
      </c>
      <c r="J2" t="s">
        <v>121</v>
      </c>
      <c r="K2" t="s">
        <v>122</v>
      </c>
      <c r="L2">
        <v>1368</v>
      </c>
      <c r="N2">
        <v>1011</v>
      </c>
      <c r="O2" t="s">
        <v>123</v>
      </c>
      <c r="P2" t="s">
        <v>123</v>
      </c>
      <c r="Q2">
        <v>1</v>
      </c>
      <c r="Y2">
        <v>0.125</v>
      </c>
      <c r="AA2">
        <v>0</v>
      </c>
      <c r="AB2">
        <v>2.7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</v>
      </c>
      <c r="AU2" t="s">
        <v>21</v>
      </c>
      <c r="AV2">
        <v>0</v>
      </c>
    </row>
    <row r="3" spans="1:48" ht="12.75">
      <c r="A3">
        <f>ROW(Source!A25)</f>
        <v>25</v>
      </c>
      <c r="B3">
        <v>9792617</v>
      </c>
      <c r="C3">
        <v>9792616</v>
      </c>
      <c r="D3">
        <v>4927908</v>
      </c>
      <c r="E3">
        <v>1</v>
      </c>
      <c r="F3">
        <v>1</v>
      </c>
      <c r="G3">
        <v>1</v>
      </c>
      <c r="H3">
        <v>1</v>
      </c>
      <c r="I3" t="s">
        <v>124</v>
      </c>
      <c r="K3" t="s">
        <v>125</v>
      </c>
      <c r="L3">
        <v>1369</v>
      </c>
      <c r="N3">
        <v>1013</v>
      </c>
      <c r="O3" t="s">
        <v>119</v>
      </c>
      <c r="P3" t="s">
        <v>119</v>
      </c>
      <c r="Q3">
        <v>1</v>
      </c>
      <c r="Y3">
        <v>26.97</v>
      </c>
      <c r="AA3">
        <v>0</v>
      </c>
      <c r="AB3">
        <v>0</v>
      </c>
      <c r="AC3">
        <v>0</v>
      </c>
      <c r="AD3">
        <v>10.94</v>
      </c>
      <c r="AN3">
        <v>0</v>
      </c>
      <c r="AO3">
        <v>1</v>
      </c>
      <c r="AP3">
        <v>0</v>
      </c>
      <c r="AQ3">
        <v>0</v>
      </c>
      <c r="AR3">
        <v>0</v>
      </c>
      <c r="AT3">
        <v>26.97</v>
      </c>
      <c r="AV3">
        <v>0</v>
      </c>
    </row>
    <row r="4" spans="1:48" ht="12.75">
      <c r="A4">
        <f>ROW(Source!A25)</f>
        <v>25</v>
      </c>
      <c r="B4">
        <v>9792618</v>
      </c>
      <c r="C4">
        <v>9792616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27</v>
      </c>
      <c r="K4" t="s">
        <v>126</v>
      </c>
      <c r="L4">
        <v>608254</v>
      </c>
      <c r="N4">
        <v>1013</v>
      </c>
      <c r="O4" t="s">
        <v>127</v>
      </c>
      <c r="P4" t="s">
        <v>127</v>
      </c>
      <c r="Q4">
        <v>1</v>
      </c>
      <c r="Y4">
        <v>0.5375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0.43</v>
      </c>
      <c r="AU4" t="s">
        <v>21</v>
      </c>
      <c r="AV4">
        <v>2</v>
      </c>
    </row>
    <row r="5" spans="1:48" ht="12.75">
      <c r="A5">
        <f>ROW(Source!A25)</f>
        <v>25</v>
      </c>
      <c r="B5">
        <v>9792619</v>
      </c>
      <c r="C5">
        <v>9792616</v>
      </c>
      <c r="D5">
        <v>4903820</v>
      </c>
      <c r="E5">
        <v>1</v>
      </c>
      <c r="F5">
        <v>1</v>
      </c>
      <c r="G5">
        <v>1</v>
      </c>
      <c r="H5">
        <v>2</v>
      </c>
      <c r="I5" t="s">
        <v>128</v>
      </c>
      <c r="J5" t="s">
        <v>129</v>
      </c>
      <c r="K5" t="s">
        <v>130</v>
      </c>
      <c r="L5">
        <v>1368</v>
      </c>
      <c r="N5">
        <v>1011</v>
      </c>
      <c r="O5" t="s">
        <v>123</v>
      </c>
      <c r="P5" t="s">
        <v>123</v>
      </c>
      <c r="Q5">
        <v>1</v>
      </c>
      <c r="Y5">
        <v>0.225</v>
      </c>
      <c r="AA5">
        <v>0</v>
      </c>
      <c r="AB5">
        <v>20</v>
      </c>
      <c r="AC5">
        <v>13.5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0.18</v>
      </c>
      <c r="AU5" t="s">
        <v>21</v>
      </c>
      <c r="AV5">
        <v>0</v>
      </c>
    </row>
    <row r="6" spans="1:48" ht="12.75">
      <c r="A6">
        <f>ROW(Source!A25)</f>
        <v>25</v>
      </c>
      <c r="B6">
        <v>9792620</v>
      </c>
      <c r="C6">
        <v>9792616</v>
      </c>
      <c r="D6">
        <v>4904761</v>
      </c>
      <c r="E6">
        <v>1</v>
      </c>
      <c r="F6">
        <v>1</v>
      </c>
      <c r="G6">
        <v>1</v>
      </c>
      <c r="H6">
        <v>2</v>
      </c>
      <c r="I6" t="s">
        <v>131</v>
      </c>
      <c r="J6" t="s">
        <v>132</v>
      </c>
      <c r="K6" t="s">
        <v>133</v>
      </c>
      <c r="L6">
        <v>1368</v>
      </c>
      <c r="N6">
        <v>1011</v>
      </c>
      <c r="O6" t="s">
        <v>123</v>
      </c>
      <c r="P6" t="s">
        <v>123</v>
      </c>
      <c r="Q6">
        <v>1</v>
      </c>
      <c r="Y6">
        <v>5.4625</v>
      </c>
      <c r="AA6">
        <v>0</v>
      </c>
      <c r="AB6">
        <v>30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4.37</v>
      </c>
      <c r="AU6" t="s">
        <v>21</v>
      </c>
      <c r="AV6">
        <v>0</v>
      </c>
    </row>
    <row r="7" spans="1:48" ht="12.75">
      <c r="A7">
        <f>ROW(Source!A25)</f>
        <v>25</v>
      </c>
      <c r="B7">
        <v>9792621</v>
      </c>
      <c r="C7">
        <v>9792616</v>
      </c>
      <c r="D7">
        <v>4906363</v>
      </c>
      <c r="E7">
        <v>1</v>
      </c>
      <c r="F7">
        <v>1</v>
      </c>
      <c r="G7">
        <v>1</v>
      </c>
      <c r="H7">
        <v>2</v>
      </c>
      <c r="I7" t="s">
        <v>134</v>
      </c>
      <c r="J7" t="s">
        <v>135</v>
      </c>
      <c r="K7" t="s">
        <v>136</v>
      </c>
      <c r="L7">
        <v>1368</v>
      </c>
      <c r="N7">
        <v>1011</v>
      </c>
      <c r="O7" t="s">
        <v>123</v>
      </c>
      <c r="P7" t="s">
        <v>123</v>
      </c>
      <c r="Q7">
        <v>1</v>
      </c>
      <c r="Y7">
        <v>1.875</v>
      </c>
      <c r="AA7">
        <v>0</v>
      </c>
      <c r="AB7">
        <v>2.7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1.5</v>
      </c>
      <c r="AU7" t="s">
        <v>21</v>
      </c>
      <c r="AV7">
        <v>0</v>
      </c>
    </row>
    <row r="8" spans="1:48" ht="12.75">
      <c r="A8">
        <f>ROW(Source!A25)</f>
        <v>25</v>
      </c>
      <c r="B8">
        <v>9792622</v>
      </c>
      <c r="C8">
        <v>9792616</v>
      </c>
      <c r="D8">
        <v>4906513</v>
      </c>
      <c r="E8">
        <v>1</v>
      </c>
      <c r="F8">
        <v>1</v>
      </c>
      <c r="G8">
        <v>1</v>
      </c>
      <c r="H8">
        <v>2</v>
      </c>
      <c r="I8" t="s">
        <v>137</v>
      </c>
      <c r="J8" t="s">
        <v>138</v>
      </c>
      <c r="K8" t="s">
        <v>139</v>
      </c>
      <c r="L8">
        <v>1368</v>
      </c>
      <c r="N8">
        <v>1011</v>
      </c>
      <c r="O8" t="s">
        <v>123</v>
      </c>
      <c r="P8" t="s">
        <v>123</v>
      </c>
      <c r="Q8">
        <v>1</v>
      </c>
      <c r="Y8">
        <v>0.3125</v>
      </c>
      <c r="AA8">
        <v>0</v>
      </c>
      <c r="AB8">
        <v>75.4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0.25</v>
      </c>
      <c r="AU8" t="s">
        <v>21</v>
      </c>
      <c r="AV8">
        <v>0</v>
      </c>
    </row>
    <row r="9" spans="1:48" ht="12.75">
      <c r="A9">
        <f>ROW(Source!A25)</f>
        <v>25</v>
      </c>
      <c r="B9">
        <v>9792623</v>
      </c>
      <c r="C9">
        <v>9792616</v>
      </c>
      <c r="D9">
        <v>4850263</v>
      </c>
      <c r="E9">
        <v>1</v>
      </c>
      <c r="F9">
        <v>1</v>
      </c>
      <c r="G9">
        <v>1</v>
      </c>
      <c r="H9">
        <v>3</v>
      </c>
      <c r="I9" t="s">
        <v>140</v>
      </c>
      <c r="J9" t="s">
        <v>140</v>
      </c>
      <c r="K9" t="s">
        <v>141</v>
      </c>
      <c r="L9">
        <v>1348</v>
      </c>
      <c r="N9">
        <v>1009</v>
      </c>
      <c r="O9" t="s">
        <v>142</v>
      </c>
      <c r="P9" t="s">
        <v>142</v>
      </c>
      <c r="Q9">
        <v>1000</v>
      </c>
      <c r="Y9">
        <v>0.008</v>
      </c>
      <c r="AA9">
        <v>1160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0.008</v>
      </c>
      <c r="AV9">
        <v>0</v>
      </c>
    </row>
    <row r="10" spans="1:48" ht="12.75">
      <c r="A10">
        <f>ROW(Source!A25)</f>
        <v>25</v>
      </c>
      <c r="B10">
        <v>9792624</v>
      </c>
      <c r="C10">
        <v>9792616</v>
      </c>
      <c r="D10">
        <v>4850364</v>
      </c>
      <c r="E10">
        <v>1</v>
      </c>
      <c r="F10">
        <v>1</v>
      </c>
      <c r="G10">
        <v>1</v>
      </c>
      <c r="H10">
        <v>3</v>
      </c>
      <c r="I10" t="s">
        <v>143</v>
      </c>
      <c r="J10" t="s">
        <v>143</v>
      </c>
      <c r="K10" t="s">
        <v>144</v>
      </c>
      <c r="L10">
        <v>1348</v>
      </c>
      <c r="N10">
        <v>1009</v>
      </c>
      <c r="O10" t="s">
        <v>142</v>
      </c>
      <c r="P10" t="s">
        <v>142</v>
      </c>
      <c r="Q10">
        <v>1000</v>
      </c>
      <c r="Y10">
        <v>0.157</v>
      </c>
      <c r="AA10">
        <v>1383.1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0.157</v>
      </c>
      <c r="AV10">
        <v>0</v>
      </c>
    </row>
    <row r="11" spans="1:48" ht="12.75">
      <c r="A11">
        <f>ROW(Source!A25)</f>
        <v>25</v>
      </c>
      <c r="B11">
        <v>9792625</v>
      </c>
      <c r="C11">
        <v>9792616</v>
      </c>
      <c r="D11">
        <v>4850366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145</v>
      </c>
      <c r="K11" t="s">
        <v>146</v>
      </c>
      <c r="L11">
        <v>1348</v>
      </c>
      <c r="N11">
        <v>1009</v>
      </c>
      <c r="O11" t="s">
        <v>142</v>
      </c>
      <c r="P11" t="s">
        <v>142</v>
      </c>
      <c r="Q11">
        <v>1000</v>
      </c>
      <c r="Y11">
        <v>0.019</v>
      </c>
      <c r="AA11">
        <v>1525.5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0.019</v>
      </c>
      <c r="AV11">
        <v>0</v>
      </c>
    </row>
    <row r="12" spans="1:48" ht="12.75">
      <c r="A12">
        <f>ROW(Source!A25)</f>
        <v>25</v>
      </c>
      <c r="B12">
        <v>9792626</v>
      </c>
      <c r="C12">
        <v>9792616</v>
      </c>
      <c r="D12">
        <v>4852911</v>
      </c>
      <c r="E12">
        <v>1</v>
      </c>
      <c r="F12">
        <v>1</v>
      </c>
      <c r="G12">
        <v>1</v>
      </c>
      <c r="H12">
        <v>3</v>
      </c>
      <c r="I12" t="s">
        <v>147</v>
      </c>
      <c r="J12" t="s">
        <v>147</v>
      </c>
      <c r="K12" t="s">
        <v>148</v>
      </c>
      <c r="L12">
        <v>1348</v>
      </c>
      <c r="N12">
        <v>1009</v>
      </c>
      <c r="O12" t="s">
        <v>142</v>
      </c>
      <c r="P12" t="s">
        <v>142</v>
      </c>
      <c r="Q12">
        <v>1000</v>
      </c>
      <c r="Y12">
        <v>0.057</v>
      </c>
      <c r="AA12">
        <v>6143.8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0.057</v>
      </c>
      <c r="AV12">
        <v>0</v>
      </c>
    </row>
    <row r="13" spans="1:48" ht="12.75">
      <c r="A13">
        <f>ROW(Source!A25)</f>
        <v>25</v>
      </c>
      <c r="B13">
        <v>9792627</v>
      </c>
      <c r="C13">
        <v>9792616</v>
      </c>
      <c r="D13">
        <v>4852927</v>
      </c>
      <c r="E13">
        <v>1</v>
      </c>
      <c r="F13">
        <v>1</v>
      </c>
      <c r="G13">
        <v>1</v>
      </c>
      <c r="H13">
        <v>3</v>
      </c>
      <c r="I13" t="s">
        <v>149</v>
      </c>
      <c r="J13" t="s">
        <v>149</v>
      </c>
      <c r="K13" t="s">
        <v>150</v>
      </c>
      <c r="L13">
        <v>1346</v>
      </c>
      <c r="N13">
        <v>1009</v>
      </c>
      <c r="O13" t="s">
        <v>39</v>
      </c>
      <c r="P13" t="s">
        <v>39</v>
      </c>
      <c r="Q13">
        <v>1</v>
      </c>
      <c r="Y13">
        <v>0.5</v>
      </c>
      <c r="AA13">
        <v>1.82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0.5</v>
      </c>
      <c r="AV13">
        <v>0</v>
      </c>
    </row>
    <row r="14" spans="1:48" ht="12.75">
      <c r="A14">
        <f>ROW(Source!A25)</f>
        <v>25</v>
      </c>
      <c r="B14">
        <v>9793716</v>
      </c>
      <c r="C14">
        <v>9792616</v>
      </c>
      <c r="D14">
        <v>1404398</v>
      </c>
      <c r="E14">
        <v>1</v>
      </c>
      <c r="F14">
        <v>1</v>
      </c>
      <c r="G14">
        <v>1</v>
      </c>
      <c r="H14">
        <v>3</v>
      </c>
      <c r="I14" t="s">
        <v>37</v>
      </c>
      <c r="J14" t="s">
        <v>40</v>
      </c>
      <c r="K14" t="s">
        <v>38</v>
      </c>
      <c r="L14">
        <v>1346</v>
      </c>
      <c r="N14">
        <v>1009</v>
      </c>
      <c r="O14" t="s">
        <v>39</v>
      </c>
      <c r="P14" t="s">
        <v>39</v>
      </c>
      <c r="Q14">
        <v>1</v>
      </c>
      <c r="Y14">
        <v>0</v>
      </c>
      <c r="AA14">
        <v>77.74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</v>
      </c>
      <c r="AV14">
        <v>0</v>
      </c>
    </row>
    <row r="15" spans="1:48" ht="12.75">
      <c r="A15">
        <f>ROW(Source!A25)</f>
        <v>25</v>
      </c>
      <c r="B15">
        <v>9792628</v>
      </c>
      <c r="C15">
        <v>9792616</v>
      </c>
      <c r="D15">
        <v>4859001</v>
      </c>
      <c r="E15">
        <v>1</v>
      </c>
      <c r="F15">
        <v>1</v>
      </c>
      <c r="G15">
        <v>1</v>
      </c>
      <c r="H15">
        <v>3</v>
      </c>
      <c r="I15" t="s">
        <v>151</v>
      </c>
      <c r="J15" t="s">
        <v>151</v>
      </c>
      <c r="K15" t="s">
        <v>152</v>
      </c>
      <c r="L15">
        <v>1348</v>
      </c>
      <c r="N15">
        <v>1009</v>
      </c>
      <c r="O15" t="s">
        <v>142</v>
      </c>
      <c r="P15" t="s">
        <v>142</v>
      </c>
      <c r="Q15">
        <v>1000</v>
      </c>
      <c r="Y15">
        <v>0.125</v>
      </c>
      <c r="AA15">
        <v>688.8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0.125</v>
      </c>
      <c r="AV15">
        <v>0</v>
      </c>
    </row>
    <row r="16" spans="1:48" ht="12.75">
      <c r="A16">
        <f>ROW(Source!A27)</f>
        <v>27</v>
      </c>
      <c r="B16">
        <v>9793780</v>
      </c>
      <c r="C16">
        <v>9793779</v>
      </c>
      <c r="D16">
        <v>4926291</v>
      </c>
      <c r="E16">
        <v>1</v>
      </c>
      <c r="F16">
        <v>1</v>
      </c>
      <c r="G16">
        <v>1</v>
      </c>
      <c r="H16">
        <v>1</v>
      </c>
      <c r="I16" t="s">
        <v>153</v>
      </c>
      <c r="K16" t="s">
        <v>154</v>
      </c>
      <c r="L16">
        <v>1369</v>
      </c>
      <c r="N16">
        <v>1013</v>
      </c>
      <c r="O16" t="s">
        <v>119</v>
      </c>
      <c r="P16" t="s">
        <v>119</v>
      </c>
      <c r="Q16">
        <v>1</v>
      </c>
      <c r="Y16">
        <v>40.43</v>
      </c>
      <c r="AA16">
        <v>0</v>
      </c>
      <c r="AB16">
        <v>0</v>
      </c>
      <c r="AC16">
        <v>0</v>
      </c>
      <c r="AD16">
        <v>7.95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40.43</v>
      </c>
      <c r="AV16">
        <v>0</v>
      </c>
    </row>
    <row r="17" spans="1:48" ht="12.75">
      <c r="A17">
        <f>ROW(Source!A27)</f>
        <v>27</v>
      </c>
      <c r="B17">
        <v>9793781</v>
      </c>
      <c r="C17">
        <v>9793779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27</v>
      </c>
      <c r="K17" t="s">
        <v>126</v>
      </c>
      <c r="L17">
        <v>608254</v>
      </c>
      <c r="N17">
        <v>1013</v>
      </c>
      <c r="O17" t="s">
        <v>127</v>
      </c>
      <c r="P17" t="s">
        <v>127</v>
      </c>
      <c r="Q17">
        <v>1</v>
      </c>
      <c r="Y17">
        <v>3.55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2.84</v>
      </c>
      <c r="AU17" t="s">
        <v>21</v>
      </c>
      <c r="AV17">
        <v>2</v>
      </c>
    </row>
    <row r="18" spans="1:48" ht="12.75">
      <c r="A18">
        <f>ROW(Source!A27)</f>
        <v>27</v>
      </c>
      <c r="B18">
        <v>9793782</v>
      </c>
      <c r="C18">
        <v>9793779</v>
      </c>
      <c r="D18">
        <v>4903698</v>
      </c>
      <c r="E18">
        <v>1</v>
      </c>
      <c r="F18">
        <v>1</v>
      </c>
      <c r="G18">
        <v>1</v>
      </c>
      <c r="H18">
        <v>2</v>
      </c>
      <c r="I18" t="s">
        <v>155</v>
      </c>
      <c r="J18" t="s">
        <v>156</v>
      </c>
      <c r="K18" t="s">
        <v>157</v>
      </c>
      <c r="L18">
        <v>1368</v>
      </c>
      <c r="N18">
        <v>1011</v>
      </c>
      <c r="O18" t="s">
        <v>123</v>
      </c>
      <c r="P18" t="s">
        <v>123</v>
      </c>
      <c r="Q18">
        <v>1</v>
      </c>
      <c r="Y18">
        <v>1.5</v>
      </c>
      <c r="AA18">
        <v>0</v>
      </c>
      <c r="AB18">
        <v>90</v>
      </c>
      <c r="AC18">
        <v>10.06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1.2</v>
      </c>
      <c r="AU18" t="s">
        <v>21</v>
      </c>
      <c r="AV18">
        <v>0</v>
      </c>
    </row>
    <row r="19" spans="1:48" ht="12.75">
      <c r="A19">
        <f>ROW(Source!A27)</f>
        <v>27</v>
      </c>
      <c r="B19">
        <v>9793783</v>
      </c>
      <c r="C19">
        <v>9793779</v>
      </c>
      <c r="D19">
        <v>4903820</v>
      </c>
      <c r="E19">
        <v>1</v>
      </c>
      <c r="F19">
        <v>1</v>
      </c>
      <c r="G19">
        <v>1</v>
      </c>
      <c r="H19">
        <v>2</v>
      </c>
      <c r="I19" t="s">
        <v>128</v>
      </c>
      <c r="J19" t="s">
        <v>129</v>
      </c>
      <c r="K19" t="s">
        <v>130</v>
      </c>
      <c r="L19">
        <v>1368</v>
      </c>
      <c r="N19">
        <v>1011</v>
      </c>
      <c r="O19" t="s">
        <v>123</v>
      </c>
      <c r="P19" t="s">
        <v>123</v>
      </c>
      <c r="Q19">
        <v>1</v>
      </c>
      <c r="Y19">
        <v>1.0375</v>
      </c>
      <c r="AA19">
        <v>0</v>
      </c>
      <c r="AB19">
        <v>20</v>
      </c>
      <c r="AC19">
        <v>13.5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0.83</v>
      </c>
      <c r="AU19" t="s">
        <v>21</v>
      </c>
      <c r="AV19">
        <v>0</v>
      </c>
    </row>
    <row r="20" spans="1:48" ht="12.75">
      <c r="A20">
        <f>ROW(Source!A27)</f>
        <v>27</v>
      </c>
      <c r="B20">
        <v>9793784</v>
      </c>
      <c r="C20">
        <v>9793779</v>
      </c>
      <c r="D20">
        <v>4903990</v>
      </c>
      <c r="E20">
        <v>1</v>
      </c>
      <c r="F20">
        <v>1</v>
      </c>
      <c r="G20">
        <v>1</v>
      </c>
      <c r="H20">
        <v>2</v>
      </c>
      <c r="I20" t="s">
        <v>158</v>
      </c>
      <c r="J20" t="s">
        <v>159</v>
      </c>
      <c r="K20" t="s">
        <v>160</v>
      </c>
      <c r="L20">
        <v>1368</v>
      </c>
      <c r="N20">
        <v>1011</v>
      </c>
      <c r="O20" t="s">
        <v>123</v>
      </c>
      <c r="P20" t="s">
        <v>123</v>
      </c>
      <c r="Q20">
        <v>1</v>
      </c>
      <c r="Y20">
        <v>1.0125</v>
      </c>
      <c r="AA20">
        <v>0</v>
      </c>
      <c r="AB20">
        <v>90</v>
      </c>
      <c r="AC20">
        <v>10.06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0.81</v>
      </c>
      <c r="AU20" t="s">
        <v>21</v>
      </c>
      <c r="AV20">
        <v>0</v>
      </c>
    </row>
    <row r="21" spans="1:48" ht="12.75">
      <c r="A21">
        <f>ROW(Source!A27)</f>
        <v>27</v>
      </c>
      <c r="B21">
        <v>9793785</v>
      </c>
      <c r="C21">
        <v>9793779</v>
      </c>
      <c r="D21">
        <v>4904654</v>
      </c>
      <c r="E21">
        <v>1</v>
      </c>
      <c r="F21">
        <v>1</v>
      </c>
      <c r="G21">
        <v>1</v>
      </c>
      <c r="H21">
        <v>2</v>
      </c>
      <c r="I21" t="s">
        <v>161</v>
      </c>
      <c r="J21" t="s">
        <v>162</v>
      </c>
      <c r="K21" t="s">
        <v>163</v>
      </c>
      <c r="L21">
        <v>1368</v>
      </c>
      <c r="N21">
        <v>1011</v>
      </c>
      <c r="O21" t="s">
        <v>123</v>
      </c>
      <c r="P21" t="s">
        <v>123</v>
      </c>
      <c r="Q21">
        <v>1</v>
      </c>
      <c r="Y21">
        <v>4.95</v>
      </c>
      <c r="AA21">
        <v>0</v>
      </c>
      <c r="AB21">
        <v>0.5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3.96</v>
      </c>
      <c r="AU21" t="s">
        <v>21</v>
      </c>
      <c r="AV21">
        <v>0</v>
      </c>
    </row>
    <row r="22" spans="1:48" ht="12.75">
      <c r="A22">
        <f>ROW(Source!A27)</f>
        <v>27</v>
      </c>
      <c r="B22">
        <v>9793786</v>
      </c>
      <c r="C22">
        <v>9793779</v>
      </c>
      <c r="D22">
        <v>4876665</v>
      </c>
      <c r="E22">
        <v>1</v>
      </c>
      <c r="F22">
        <v>1</v>
      </c>
      <c r="G22">
        <v>1</v>
      </c>
      <c r="H22">
        <v>3</v>
      </c>
      <c r="I22" t="s">
        <v>47</v>
      </c>
      <c r="J22" t="s">
        <v>47</v>
      </c>
      <c r="K22" t="s">
        <v>48</v>
      </c>
      <c r="L22">
        <v>1339</v>
      </c>
      <c r="N22">
        <v>1007</v>
      </c>
      <c r="O22" t="s">
        <v>49</v>
      </c>
      <c r="P22" t="s">
        <v>49</v>
      </c>
      <c r="Q22">
        <v>1</v>
      </c>
      <c r="Y22">
        <v>3.06</v>
      </c>
      <c r="AA22">
        <v>665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3.06</v>
      </c>
      <c r="AV22">
        <v>0</v>
      </c>
    </row>
    <row r="23" spans="1:48" ht="12.75">
      <c r="A23">
        <f>ROW(Source!A27)</f>
        <v>27</v>
      </c>
      <c r="B23">
        <v>9793791</v>
      </c>
      <c r="C23">
        <v>9793779</v>
      </c>
      <c r="D23">
        <v>4876665</v>
      </c>
      <c r="E23">
        <v>1</v>
      </c>
      <c r="F23">
        <v>1</v>
      </c>
      <c r="G23">
        <v>1</v>
      </c>
      <c r="H23">
        <v>3</v>
      </c>
      <c r="I23" t="s">
        <v>47</v>
      </c>
      <c r="J23" t="s">
        <v>47</v>
      </c>
      <c r="K23" t="s">
        <v>48</v>
      </c>
      <c r="L23">
        <v>1339</v>
      </c>
      <c r="N23">
        <v>1007</v>
      </c>
      <c r="O23" t="s">
        <v>49</v>
      </c>
      <c r="P23" t="s">
        <v>49</v>
      </c>
      <c r="Q23">
        <v>1</v>
      </c>
      <c r="Y23">
        <v>-3.06</v>
      </c>
      <c r="AA23">
        <v>665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-3.06</v>
      </c>
      <c r="AV23">
        <v>0</v>
      </c>
    </row>
    <row r="24" spans="1:48" ht="12.75">
      <c r="A24">
        <f>ROW(Source!A27)</f>
        <v>27</v>
      </c>
      <c r="B24">
        <v>9794043</v>
      </c>
      <c r="C24">
        <v>9793779</v>
      </c>
      <c r="D24">
        <v>1434947</v>
      </c>
      <c r="E24">
        <v>1</v>
      </c>
      <c r="F24">
        <v>1</v>
      </c>
      <c r="G24">
        <v>1</v>
      </c>
      <c r="H24">
        <v>3</v>
      </c>
      <c r="I24" t="s">
        <v>51</v>
      </c>
      <c r="J24" t="s">
        <v>53</v>
      </c>
      <c r="K24" t="s">
        <v>52</v>
      </c>
      <c r="L24">
        <v>1339</v>
      </c>
      <c r="N24">
        <v>1007</v>
      </c>
      <c r="O24" t="s">
        <v>49</v>
      </c>
      <c r="P24" t="s">
        <v>49</v>
      </c>
      <c r="Q24">
        <v>1</v>
      </c>
      <c r="Y24">
        <v>3.06</v>
      </c>
      <c r="AA24">
        <v>643.43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3.06</v>
      </c>
      <c r="AV24">
        <v>0</v>
      </c>
    </row>
    <row r="25" spans="1:48" ht="12.75">
      <c r="A25">
        <f>ROW(Source!A27)</f>
        <v>27</v>
      </c>
      <c r="B25">
        <v>9793787</v>
      </c>
      <c r="C25">
        <v>9793779</v>
      </c>
      <c r="D25">
        <v>4879251</v>
      </c>
      <c r="E25">
        <v>1</v>
      </c>
      <c r="F25">
        <v>1</v>
      </c>
      <c r="G25">
        <v>1</v>
      </c>
      <c r="H25">
        <v>3</v>
      </c>
      <c r="I25" t="s">
        <v>164</v>
      </c>
      <c r="J25" t="s">
        <v>164</v>
      </c>
      <c r="K25" t="s">
        <v>165</v>
      </c>
      <c r="L25">
        <v>1339</v>
      </c>
      <c r="N25">
        <v>1007</v>
      </c>
      <c r="O25" t="s">
        <v>49</v>
      </c>
      <c r="P25" t="s">
        <v>49</v>
      </c>
      <c r="Q25">
        <v>1</v>
      </c>
      <c r="Y25">
        <v>3.06</v>
      </c>
      <c r="AA25">
        <v>55.26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3.06</v>
      </c>
      <c r="AV25">
        <v>0</v>
      </c>
    </row>
    <row r="26" spans="1:48" ht="12.75">
      <c r="A26">
        <f>ROW(Source!A27)</f>
        <v>27</v>
      </c>
      <c r="B26">
        <v>9793788</v>
      </c>
      <c r="C26">
        <v>9793779</v>
      </c>
      <c r="D26">
        <v>4880073</v>
      </c>
      <c r="E26">
        <v>1</v>
      </c>
      <c r="F26">
        <v>1</v>
      </c>
      <c r="G26">
        <v>1</v>
      </c>
      <c r="H26">
        <v>3</v>
      </c>
      <c r="I26" t="s">
        <v>166</v>
      </c>
      <c r="J26" t="s">
        <v>166</v>
      </c>
      <c r="K26" t="s">
        <v>167</v>
      </c>
      <c r="L26">
        <v>1339</v>
      </c>
      <c r="N26">
        <v>1007</v>
      </c>
      <c r="O26" t="s">
        <v>49</v>
      </c>
      <c r="P26" t="s">
        <v>49</v>
      </c>
      <c r="Q26">
        <v>1</v>
      </c>
      <c r="Y26">
        <v>3.5</v>
      </c>
      <c r="AA26">
        <v>2.44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3.5</v>
      </c>
      <c r="AV26">
        <v>0</v>
      </c>
    </row>
    <row r="27" spans="1:48" ht="12.75">
      <c r="A27">
        <f>ROW(Source!A27)</f>
        <v>27</v>
      </c>
      <c r="B27">
        <v>9794054</v>
      </c>
      <c r="C27">
        <v>9793779</v>
      </c>
      <c r="D27">
        <v>1459091</v>
      </c>
      <c r="E27">
        <v>1</v>
      </c>
      <c r="F27">
        <v>1</v>
      </c>
      <c r="G27">
        <v>1</v>
      </c>
      <c r="H27">
        <v>3</v>
      </c>
      <c r="I27" t="s">
        <v>168</v>
      </c>
      <c r="J27" t="s">
        <v>169</v>
      </c>
      <c r="K27" t="s">
        <v>170</v>
      </c>
      <c r="L27">
        <v>1346</v>
      </c>
      <c r="N27">
        <v>1009</v>
      </c>
      <c r="O27" t="s">
        <v>39</v>
      </c>
      <c r="P27" t="s">
        <v>39</v>
      </c>
      <c r="Q27">
        <v>1</v>
      </c>
      <c r="Y27">
        <v>0</v>
      </c>
      <c r="AA27">
        <v>30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0</v>
      </c>
      <c r="AV27">
        <v>0</v>
      </c>
    </row>
    <row r="28" spans="1:48" ht="12.75">
      <c r="A28">
        <f>ROW(Source!A27)</f>
        <v>27</v>
      </c>
      <c r="B28">
        <v>9796622</v>
      </c>
      <c r="C28">
        <v>9793779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55</v>
      </c>
      <c r="K28" t="s">
        <v>56</v>
      </c>
      <c r="L28">
        <v>1346</v>
      </c>
      <c r="N28">
        <v>1009</v>
      </c>
      <c r="O28" t="s">
        <v>39</v>
      </c>
      <c r="P28" t="s">
        <v>39</v>
      </c>
      <c r="Q28">
        <v>1</v>
      </c>
      <c r="Y28">
        <v>2.626642</v>
      </c>
      <c r="AA28">
        <v>81.15</v>
      </c>
      <c r="AB28">
        <v>0</v>
      </c>
      <c r="AC28">
        <v>0</v>
      </c>
      <c r="AD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2.626642</v>
      </c>
      <c r="AV28">
        <v>0</v>
      </c>
    </row>
    <row r="29" spans="1:48" ht="12.75">
      <c r="A29">
        <f>ROW(Source!A31)</f>
        <v>31</v>
      </c>
      <c r="B29">
        <v>9796512</v>
      </c>
      <c r="C29">
        <v>9796511</v>
      </c>
      <c r="D29">
        <v>4923796</v>
      </c>
      <c r="E29">
        <v>1</v>
      </c>
      <c r="F29">
        <v>1</v>
      </c>
      <c r="G29">
        <v>1</v>
      </c>
      <c r="H29">
        <v>1</v>
      </c>
      <c r="I29" t="s">
        <v>171</v>
      </c>
      <c r="K29" t="s">
        <v>172</v>
      </c>
      <c r="L29">
        <v>1369</v>
      </c>
      <c r="N29">
        <v>1013</v>
      </c>
      <c r="O29" t="s">
        <v>119</v>
      </c>
      <c r="P29" t="s">
        <v>119</v>
      </c>
      <c r="Q29">
        <v>1</v>
      </c>
      <c r="Y29">
        <v>80.04</v>
      </c>
      <c r="AA29">
        <v>0</v>
      </c>
      <c r="AB29">
        <v>0</v>
      </c>
      <c r="AC29">
        <v>0</v>
      </c>
      <c r="AD29">
        <v>9.08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80.04</v>
      </c>
      <c r="AV29">
        <v>0</v>
      </c>
    </row>
    <row r="30" spans="1:48" ht="12.75">
      <c r="A30">
        <f>ROW(Source!A31)</f>
        <v>31</v>
      </c>
      <c r="B30">
        <v>9796513</v>
      </c>
      <c r="C30">
        <v>9796511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27</v>
      </c>
      <c r="K30" t="s">
        <v>126</v>
      </c>
      <c r="L30">
        <v>608254</v>
      </c>
      <c r="N30">
        <v>1013</v>
      </c>
      <c r="O30" t="s">
        <v>127</v>
      </c>
      <c r="P30" t="s">
        <v>127</v>
      </c>
      <c r="Q30">
        <v>1</v>
      </c>
      <c r="Y30">
        <v>2.6125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2.09</v>
      </c>
      <c r="AU30" t="s">
        <v>21</v>
      </c>
      <c r="AV30">
        <v>2</v>
      </c>
    </row>
    <row r="31" spans="1:48" ht="12.75">
      <c r="A31">
        <f>ROW(Source!A31)</f>
        <v>31</v>
      </c>
      <c r="B31">
        <v>9796514</v>
      </c>
      <c r="C31">
        <v>9796511</v>
      </c>
      <c r="D31">
        <v>4903990</v>
      </c>
      <c r="E31">
        <v>1</v>
      </c>
      <c r="F31">
        <v>1</v>
      </c>
      <c r="G31">
        <v>1</v>
      </c>
      <c r="H31">
        <v>2</v>
      </c>
      <c r="I31" t="s">
        <v>158</v>
      </c>
      <c r="J31" t="s">
        <v>159</v>
      </c>
      <c r="K31" t="s">
        <v>160</v>
      </c>
      <c r="L31">
        <v>1368</v>
      </c>
      <c r="N31">
        <v>1011</v>
      </c>
      <c r="O31" t="s">
        <v>123</v>
      </c>
      <c r="P31" t="s">
        <v>123</v>
      </c>
      <c r="Q31">
        <v>1</v>
      </c>
      <c r="Y31">
        <v>2.6125</v>
      </c>
      <c r="AA31">
        <v>0</v>
      </c>
      <c r="AB31">
        <v>90</v>
      </c>
      <c r="AC31">
        <v>10.06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2.09</v>
      </c>
      <c r="AU31" t="s">
        <v>21</v>
      </c>
      <c r="AV31">
        <v>0</v>
      </c>
    </row>
    <row r="32" spans="1:48" ht="12.75">
      <c r="A32">
        <f>ROW(Source!A31)</f>
        <v>31</v>
      </c>
      <c r="B32">
        <v>9796515</v>
      </c>
      <c r="C32">
        <v>9796511</v>
      </c>
      <c r="D32">
        <v>4906241</v>
      </c>
      <c r="E32">
        <v>1</v>
      </c>
      <c r="F32">
        <v>1</v>
      </c>
      <c r="G32">
        <v>1</v>
      </c>
      <c r="H32">
        <v>2</v>
      </c>
      <c r="I32" t="s">
        <v>173</v>
      </c>
      <c r="J32" t="s">
        <v>174</v>
      </c>
      <c r="K32" t="s">
        <v>175</v>
      </c>
      <c r="L32">
        <v>1368</v>
      </c>
      <c r="N32">
        <v>1011</v>
      </c>
      <c r="O32" t="s">
        <v>123</v>
      </c>
      <c r="P32" t="s">
        <v>123</v>
      </c>
      <c r="Q32">
        <v>1</v>
      </c>
      <c r="Y32">
        <v>40</v>
      </c>
      <c r="AA32">
        <v>0</v>
      </c>
      <c r="AB32">
        <v>1.5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32</v>
      </c>
      <c r="AU32" t="s">
        <v>21</v>
      </c>
      <c r="AV32">
        <v>0</v>
      </c>
    </row>
    <row r="33" spans="1:48" ht="12.75">
      <c r="A33">
        <f>ROW(Source!A31)</f>
        <v>31</v>
      </c>
      <c r="B33">
        <v>9796516</v>
      </c>
      <c r="C33">
        <v>9796511</v>
      </c>
      <c r="D33">
        <v>4853272</v>
      </c>
      <c r="E33">
        <v>1</v>
      </c>
      <c r="F33">
        <v>1</v>
      </c>
      <c r="G33">
        <v>1</v>
      </c>
      <c r="H33">
        <v>3</v>
      </c>
      <c r="I33" t="s">
        <v>176</v>
      </c>
      <c r="J33" t="s">
        <v>176</v>
      </c>
      <c r="K33" t="s">
        <v>177</v>
      </c>
      <c r="L33">
        <v>1346</v>
      </c>
      <c r="N33">
        <v>1009</v>
      </c>
      <c r="O33" t="s">
        <v>39</v>
      </c>
      <c r="P33" t="s">
        <v>39</v>
      </c>
      <c r="Q33">
        <v>1</v>
      </c>
      <c r="Y33">
        <v>2</v>
      </c>
      <c r="AA33">
        <v>5.71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</v>
      </c>
      <c r="AV33">
        <v>0</v>
      </c>
    </row>
    <row r="34" spans="1:48" ht="12.75">
      <c r="A34">
        <f>ROW(Source!A31)</f>
        <v>31</v>
      </c>
      <c r="B34">
        <v>9796517</v>
      </c>
      <c r="C34">
        <v>9796511</v>
      </c>
      <c r="D34">
        <v>4880073</v>
      </c>
      <c r="E34">
        <v>1</v>
      </c>
      <c r="F34">
        <v>1</v>
      </c>
      <c r="G34">
        <v>1</v>
      </c>
      <c r="H34">
        <v>3</v>
      </c>
      <c r="I34" t="s">
        <v>166</v>
      </c>
      <c r="J34" t="s">
        <v>166</v>
      </c>
      <c r="K34" t="s">
        <v>167</v>
      </c>
      <c r="L34">
        <v>1339</v>
      </c>
      <c r="N34">
        <v>1007</v>
      </c>
      <c r="O34" t="s">
        <v>49</v>
      </c>
      <c r="P34" t="s">
        <v>49</v>
      </c>
      <c r="Q34">
        <v>1</v>
      </c>
      <c r="Y34">
        <v>2</v>
      </c>
      <c r="AA34">
        <v>2.44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</v>
      </c>
      <c r="AV34">
        <v>0</v>
      </c>
    </row>
    <row r="35" spans="1:48" ht="12.75">
      <c r="A35">
        <f>ROW(Source!A32)</f>
        <v>32</v>
      </c>
      <c r="B35">
        <v>9796537</v>
      </c>
      <c r="C35">
        <v>9796536</v>
      </c>
      <c r="D35">
        <v>4931572</v>
      </c>
      <c r="E35">
        <v>1</v>
      </c>
      <c r="F35">
        <v>1</v>
      </c>
      <c r="G35">
        <v>1</v>
      </c>
      <c r="H35">
        <v>1</v>
      </c>
      <c r="I35" t="s">
        <v>178</v>
      </c>
      <c r="K35" t="s">
        <v>179</v>
      </c>
      <c r="L35">
        <v>1369</v>
      </c>
      <c r="N35">
        <v>1013</v>
      </c>
      <c r="O35" t="s">
        <v>119</v>
      </c>
      <c r="P35" t="s">
        <v>119</v>
      </c>
      <c r="Q35">
        <v>1</v>
      </c>
      <c r="Y35">
        <v>31.73</v>
      </c>
      <c r="AA35">
        <v>0</v>
      </c>
      <c r="AB35">
        <v>0</v>
      </c>
      <c r="AC35">
        <v>0</v>
      </c>
      <c r="AD35">
        <v>9.77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31.73</v>
      </c>
      <c r="AV35">
        <v>0</v>
      </c>
    </row>
    <row r="36" spans="1:48" ht="12.75">
      <c r="A36">
        <f>ROW(Source!A32)</f>
        <v>32</v>
      </c>
      <c r="B36">
        <v>9796538</v>
      </c>
      <c r="C36">
        <v>9796536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27</v>
      </c>
      <c r="K36" t="s">
        <v>126</v>
      </c>
      <c r="L36">
        <v>608254</v>
      </c>
      <c r="N36">
        <v>1013</v>
      </c>
      <c r="O36" t="s">
        <v>127</v>
      </c>
      <c r="P36" t="s">
        <v>127</v>
      </c>
      <c r="Q36">
        <v>1</v>
      </c>
      <c r="Y36">
        <v>21.21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21.21</v>
      </c>
      <c r="AV36">
        <v>2</v>
      </c>
    </row>
    <row r="37" spans="1:48" ht="12.75">
      <c r="A37">
        <f>ROW(Source!A32)</f>
        <v>32</v>
      </c>
      <c r="B37">
        <v>9796539</v>
      </c>
      <c r="C37">
        <v>9796536</v>
      </c>
      <c r="D37">
        <v>4903798</v>
      </c>
      <c r="E37">
        <v>1</v>
      </c>
      <c r="F37">
        <v>1</v>
      </c>
      <c r="G37">
        <v>1</v>
      </c>
      <c r="H37">
        <v>2</v>
      </c>
      <c r="I37" t="s">
        <v>180</v>
      </c>
      <c r="J37" t="s">
        <v>181</v>
      </c>
      <c r="K37" t="s">
        <v>182</v>
      </c>
      <c r="L37">
        <v>1368</v>
      </c>
      <c r="N37">
        <v>1011</v>
      </c>
      <c r="O37" t="s">
        <v>123</v>
      </c>
      <c r="P37" t="s">
        <v>123</v>
      </c>
      <c r="Q37">
        <v>1</v>
      </c>
      <c r="Y37">
        <v>10.51</v>
      </c>
      <c r="AA37">
        <v>0</v>
      </c>
      <c r="AB37">
        <v>101</v>
      </c>
      <c r="AC37">
        <v>13.5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10.51</v>
      </c>
      <c r="AV37">
        <v>0</v>
      </c>
    </row>
    <row r="38" spans="1:48" ht="12.75">
      <c r="A38">
        <f>ROW(Source!A32)</f>
        <v>32</v>
      </c>
      <c r="B38">
        <v>9796540</v>
      </c>
      <c r="C38">
        <v>9796536</v>
      </c>
      <c r="D38">
        <v>4903988</v>
      </c>
      <c r="E38">
        <v>1</v>
      </c>
      <c r="F38">
        <v>1</v>
      </c>
      <c r="G38">
        <v>1</v>
      </c>
      <c r="H38">
        <v>2</v>
      </c>
      <c r="I38" t="s">
        <v>183</v>
      </c>
      <c r="J38" t="s">
        <v>159</v>
      </c>
      <c r="K38" t="s">
        <v>184</v>
      </c>
      <c r="L38">
        <v>1368</v>
      </c>
      <c r="N38">
        <v>1011</v>
      </c>
      <c r="O38" t="s">
        <v>123</v>
      </c>
      <c r="P38" t="s">
        <v>123</v>
      </c>
      <c r="Q38">
        <v>1</v>
      </c>
      <c r="Y38">
        <v>10.51</v>
      </c>
      <c r="AA38">
        <v>0</v>
      </c>
      <c r="AB38">
        <v>100</v>
      </c>
      <c r="AC38">
        <v>10.06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10.51</v>
      </c>
      <c r="AV38">
        <v>0</v>
      </c>
    </row>
    <row r="39" spans="1:48" ht="12.75">
      <c r="A39">
        <f>ROW(Source!A32)</f>
        <v>32</v>
      </c>
      <c r="B39">
        <v>9796541</v>
      </c>
      <c r="C39">
        <v>9796536</v>
      </c>
      <c r="D39">
        <v>4906152</v>
      </c>
      <c r="E39">
        <v>1</v>
      </c>
      <c r="F39">
        <v>1</v>
      </c>
      <c r="G39">
        <v>1</v>
      </c>
      <c r="H39">
        <v>2</v>
      </c>
      <c r="I39" t="s">
        <v>185</v>
      </c>
      <c r="J39" t="s">
        <v>186</v>
      </c>
      <c r="K39" t="s">
        <v>187</v>
      </c>
      <c r="L39">
        <v>1368</v>
      </c>
      <c r="N39">
        <v>1011</v>
      </c>
      <c r="O39" t="s">
        <v>123</v>
      </c>
      <c r="P39" t="s">
        <v>123</v>
      </c>
      <c r="Q39">
        <v>1</v>
      </c>
      <c r="Y39">
        <v>10.51</v>
      </c>
      <c r="AA39">
        <v>0</v>
      </c>
      <c r="AB39">
        <v>2.41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10.51</v>
      </c>
      <c r="AV39">
        <v>0</v>
      </c>
    </row>
    <row r="40" spans="1:48" ht="12.75">
      <c r="A40">
        <f>ROW(Source!A32)</f>
        <v>32</v>
      </c>
      <c r="B40">
        <v>9796542</v>
      </c>
      <c r="C40">
        <v>9796536</v>
      </c>
      <c r="D40">
        <v>4906513</v>
      </c>
      <c r="E40">
        <v>1</v>
      </c>
      <c r="F40">
        <v>1</v>
      </c>
      <c r="G40">
        <v>1</v>
      </c>
      <c r="H40">
        <v>2</v>
      </c>
      <c r="I40" t="s">
        <v>137</v>
      </c>
      <c r="J40" t="s">
        <v>138</v>
      </c>
      <c r="K40" t="s">
        <v>139</v>
      </c>
      <c r="L40">
        <v>1368</v>
      </c>
      <c r="N40">
        <v>1011</v>
      </c>
      <c r="O40" t="s">
        <v>123</v>
      </c>
      <c r="P40" t="s">
        <v>123</v>
      </c>
      <c r="Q40">
        <v>1</v>
      </c>
      <c r="Y40">
        <v>0.19</v>
      </c>
      <c r="AA40">
        <v>0</v>
      </c>
      <c r="AB40">
        <v>75.4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0.19</v>
      </c>
      <c r="AV40">
        <v>0</v>
      </c>
    </row>
    <row r="41" spans="1:48" ht="12.75">
      <c r="A41">
        <f>ROW(Source!A32)</f>
        <v>32</v>
      </c>
      <c r="B41">
        <v>9796543</v>
      </c>
      <c r="C41">
        <v>9796536</v>
      </c>
      <c r="D41">
        <v>4851197</v>
      </c>
      <c r="E41">
        <v>1</v>
      </c>
      <c r="F41">
        <v>1</v>
      </c>
      <c r="G41">
        <v>1</v>
      </c>
      <c r="H41">
        <v>3</v>
      </c>
      <c r="I41" t="s">
        <v>188</v>
      </c>
      <c r="J41" t="s">
        <v>188</v>
      </c>
      <c r="K41" t="s">
        <v>189</v>
      </c>
      <c r="L41">
        <v>1348</v>
      </c>
      <c r="N41">
        <v>1009</v>
      </c>
      <c r="O41" t="s">
        <v>142</v>
      </c>
      <c r="P41" t="s">
        <v>142</v>
      </c>
      <c r="Q41">
        <v>1000</v>
      </c>
      <c r="Y41">
        <v>0.0762</v>
      </c>
      <c r="AA41">
        <v>17183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0.0762</v>
      </c>
      <c r="AV41">
        <v>0</v>
      </c>
    </row>
    <row r="42" spans="1:48" ht="12.75">
      <c r="A42">
        <f>ROW(Source!A32)</f>
        <v>32</v>
      </c>
      <c r="B42">
        <v>9796544</v>
      </c>
      <c r="C42">
        <v>9796536</v>
      </c>
      <c r="D42">
        <v>4851217</v>
      </c>
      <c r="E42">
        <v>1</v>
      </c>
      <c r="F42">
        <v>1</v>
      </c>
      <c r="G42">
        <v>1</v>
      </c>
      <c r="H42">
        <v>3</v>
      </c>
      <c r="I42" t="s">
        <v>190</v>
      </c>
      <c r="J42" t="s">
        <v>190</v>
      </c>
      <c r="K42" t="s">
        <v>191</v>
      </c>
      <c r="L42">
        <v>1346</v>
      </c>
      <c r="N42">
        <v>1009</v>
      </c>
      <c r="O42" t="s">
        <v>39</v>
      </c>
      <c r="P42" t="s">
        <v>39</v>
      </c>
      <c r="Q42">
        <v>1</v>
      </c>
      <c r="Y42">
        <v>0</v>
      </c>
      <c r="AA42">
        <v>74.58</v>
      </c>
      <c r="AB42">
        <v>0</v>
      </c>
      <c r="AC42">
        <v>0</v>
      </c>
      <c r="AD42">
        <v>0</v>
      </c>
      <c r="AN42">
        <v>1</v>
      </c>
      <c r="AO42">
        <v>1</v>
      </c>
      <c r="AP42">
        <v>0</v>
      </c>
      <c r="AQ42">
        <v>0</v>
      </c>
      <c r="AR42">
        <v>0</v>
      </c>
      <c r="AT42">
        <v>0</v>
      </c>
      <c r="AV42">
        <v>0</v>
      </c>
    </row>
    <row r="43" spans="1:48" ht="12.75">
      <c r="A43">
        <f>ROW(Source!A33)</f>
        <v>33</v>
      </c>
      <c r="B43">
        <v>9796584</v>
      </c>
      <c r="C43">
        <v>9796583</v>
      </c>
      <c r="D43">
        <v>4941659</v>
      </c>
      <c r="E43">
        <v>1</v>
      </c>
      <c r="F43">
        <v>1</v>
      </c>
      <c r="G43">
        <v>1</v>
      </c>
      <c r="H43">
        <v>1</v>
      </c>
      <c r="I43" t="s">
        <v>192</v>
      </c>
      <c r="K43" t="s">
        <v>193</v>
      </c>
      <c r="L43">
        <v>1369</v>
      </c>
      <c r="N43">
        <v>1013</v>
      </c>
      <c r="O43" t="s">
        <v>119</v>
      </c>
      <c r="P43" t="s">
        <v>119</v>
      </c>
      <c r="Q43">
        <v>1</v>
      </c>
      <c r="Y43">
        <v>80.62</v>
      </c>
      <c r="AA43">
        <v>0</v>
      </c>
      <c r="AB43">
        <v>0</v>
      </c>
      <c r="AC43">
        <v>0</v>
      </c>
      <c r="AD43">
        <v>11.64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80.62</v>
      </c>
      <c r="AV43">
        <v>0</v>
      </c>
    </row>
    <row r="44" spans="1:48" ht="12.75">
      <c r="A44">
        <f>ROW(Source!A33)</f>
        <v>33</v>
      </c>
      <c r="B44">
        <v>9796585</v>
      </c>
      <c r="C44">
        <v>9796583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27</v>
      </c>
      <c r="K44" t="s">
        <v>126</v>
      </c>
      <c r="L44">
        <v>608254</v>
      </c>
      <c r="N44">
        <v>1013</v>
      </c>
      <c r="O44" t="s">
        <v>127</v>
      </c>
      <c r="P44" t="s">
        <v>127</v>
      </c>
      <c r="Q44">
        <v>1</v>
      </c>
      <c r="Y44">
        <v>8.6625</v>
      </c>
      <c r="AA44">
        <v>0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6.93</v>
      </c>
      <c r="AU44" t="s">
        <v>21</v>
      </c>
      <c r="AV44">
        <v>2</v>
      </c>
    </row>
    <row r="45" spans="1:48" ht="12.75">
      <c r="A45">
        <f>ROW(Source!A33)</f>
        <v>33</v>
      </c>
      <c r="B45">
        <v>9796586</v>
      </c>
      <c r="C45">
        <v>9796583</v>
      </c>
      <c r="D45">
        <v>4903820</v>
      </c>
      <c r="E45">
        <v>1</v>
      </c>
      <c r="F45">
        <v>1</v>
      </c>
      <c r="G45">
        <v>1</v>
      </c>
      <c r="H45">
        <v>2</v>
      </c>
      <c r="I45" t="s">
        <v>128</v>
      </c>
      <c r="J45" t="s">
        <v>129</v>
      </c>
      <c r="K45" t="s">
        <v>130</v>
      </c>
      <c r="L45">
        <v>1368</v>
      </c>
      <c r="N45">
        <v>1011</v>
      </c>
      <c r="O45" t="s">
        <v>123</v>
      </c>
      <c r="P45" t="s">
        <v>123</v>
      </c>
      <c r="Q45">
        <v>1</v>
      </c>
      <c r="Y45">
        <v>0.3125</v>
      </c>
      <c r="AA45">
        <v>0</v>
      </c>
      <c r="AB45">
        <v>20</v>
      </c>
      <c r="AC45">
        <v>13.5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0.25</v>
      </c>
      <c r="AU45" t="s">
        <v>21</v>
      </c>
      <c r="AV45">
        <v>0</v>
      </c>
    </row>
    <row r="46" spans="1:48" ht="12.75">
      <c r="A46">
        <f>ROW(Source!A33)</f>
        <v>33</v>
      </c>
      <c r="B46">
        <v>9796587</v>
      </c>
      <c r="C46">
        <v>9796583</v>
      </c>
      <c r="D46">
        <v>4904637</v>
      </c>
      <c r="E46">
        <v>1</v>
      </c>
      <c r="F46">
        <v>1</v>
      </c>
      <c r="G46">
        <v>1</v>
      </c>
      <c r="H46">
        <v>2</v>
      </c>
      <c r="I46" t="s">
        <v>194</v>
      </c>
      <c r="J46" t="s">
        <v>195</v>
      </c>
      <c r="K46" t="s">
        <v>196</v>
      </c>
      <c r="L46">
        <v>1368</v>
      </c>
      <c r="N46">
        <v>1011</v>
      </c>
      <c r="O46" t="s">
        <v>123</v>
      </c>
      <c r="P46" t="s">
        <v>123</v>
      </c>
      <c r="Q46">
        <v>1</v>
      </c>
      <c r="Y46">
        <v>7.8875</v>
      </c>
      <c r="AA46">
        <v>0</v>
      </c>
      <c r="AB46">
        <v>12.4</v>
      </c>
      <c r="AC46">
        <v>10.06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6.31</v>
      </c>
      <c r="AU46" t="s">
        <v>21</v>
      </c>
      <c r="AV46">
        <v>0</v>
      </c>
    </row>
    <row r="47" spans="1:48" ht="12.75">
      <c r="A47">
        <f>ROW(Source!A33)</f>
        <v>33</v>
      </c>
      <c r="B47">
        <v>9796588</v>
      </c>
      <c r="C47">
        <v>9796583</v>
      </c>
      <c r="D47">
        <v>4906241</v>
      </c>
      <c r="E47">
        <v>1</v>
      </c>
      <c r="F47">
        <v>1</v>
      </c>
      <c r="G47">
        <v>1</v>
      </c>
      <c r="H47">
        <v>2</v>
      </c>
      <c r="I47" t="s">
        <v>173</v>
      </c>
      <c r="J47" t="s">
        <v>174</v>
      </c>
      <c r="K47" t="s">
        <v>175</v>
      </c>
      <c r="L47">
        <v>1368</v>
      </c>
      <c r="N47">
        <v>1011</v>
      </c>
      <c r="O47" t="s">
        <v>123</v>
      </c>
      <c r="P47" t="s">
        <v>123</v>
      </c>
      <c r="Q47">
        <v>1</v>
      </c>
      <c r="Y47">
        <v>37.5</v>
      </c>
      <c r="AA47">
        <v>0</v>
      </c>
      <c r="AB47">
        <v>1.5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30</v>
      </c>
      <c r="AU47" t="s">
        <v>21</v>
      </c>
      <c r="AV47">
        <v>0</v>
      </c>
    </row>
    <row r="48" spans="1:48" ht="12.75">
      <c r="A48">
        <f>ROW(Source!A33)</f>
        <v>33</v>
      </c>
      <c r="B48">
        <v>9796589</v>
      </c>
      <c r="C48">
        <v>9796583</v>
      </c>
      <c r="D48">
        <v>4906513</v>
      </c>
      <c r="E48">
        <v>1</v>
      </c>
      <c r="F48">
        <v>1</v>
      </c>
      <c r="G48">
        <v>1</v>
      </c>
      <c r="H48">
        <v>2</v>
      </c>
      <c r="I48" t="s">
        <v>137</v>
      </c>
      <c r="J48" t="s">
        <v>138</v>
      </c>
      <c r="K48" t="s">
        <v>139</v>
      </c>
      <c r="L48">
        <v>1368</v>
      </c>
      <c r="N48">
        <v>1011</v>
      </c>
      <c r="O48" t="s">
        <v>123</v>
      </c>
      <c r="P48" t="s">
        <v>123</v>
      </c>
      <c r="Q48">
        <v>1</v>
      </c>
      <c r="Y48">
        <v>0.4625</v>
      </c>
      <c r="AA48">
        <v>0</v>
      </c>
      <c r="AB48">
        <v>75.4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0.37</v>
      </c>
      <c r="AU48" t="s">
        <v>21</v>
      </c>
      <c r="AV48">
        <v>0</v>
      </c>
    </row>
    <row r="49" spans="1:48" ht="12.75">
      <c r="A49">
        <f>ROW(Source!A33)</f>
        <v>33</v>
      </c>
      <c r="B49">
        <v>9796590</v>
      </c>
      <c r="C49">
        <v>9796583</v>
      </c>
      <c r="D49">
        <v>4850741</v>
      </c>
      <c r="E49">
        <v>1</v>
      </c>
      <c r="F49">
        <v>1</v>
      </c>
      <c r="G49">
        <v>1</v>
      </c>
      <c r="H49">
        <v>3</v>
      </c>
      <c r="I49" t="s">
        <v>197</v>
      </c>
      <c r="J49" t="s">
        <v>197</v>
      </c>
      <c r="K49" t="s">
        <v>198</v>
      </c>
      <c r="L49">
        <v>1348</v>
      </c>
      <c r="N49">
        <v>1009</v>
      </c>
      <c r="O49" t="s">
        <v>142</v>
      </c>
      <c r="P49" t="s">
        <v>142</v>
      </c>
      <c r="Q49">
        <v>1000</v>
      </c>
      <c r="Y49">
        <v>0.006</v>
      </c>
      <c r="AA49">
        <v>86560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0.006</v>
      </c>
      <c r="AV49">
        <v>0</v>
      </c>
    </row>
    <row r="50" spans="1:48" ht="12.75">
      <c r="A50">
        <f>ROW(Source!A33)</f>
        <v>33</v>
      </c>
      <c r="B50">
        <v>9796591</v>
      </c>
      <c r="C50">
        <v>9796583</v>
      </c>
      <c r="D50">
        <v>4853272</v>
      </c>
      <c r="E50">
        <v>1</v>
      </c>
      <c r="F50">
        <v>1</v>
      </c>
      <c r="G50">
        <v>1</v>
      </c>
      <c r="H50">
        <v>3</v>
      </c>
      <c r="I50" t="s">
        <v>176</v>
      </c>
      <c r="J50" t="s">
        <v>176</v>
      </c>
      <c r="K50" t="s">
        <v>177</v>
      </c>
      <c r="L50">
        <v>1346</v>
      </c>
      <c r="N50">
        <v>1009</v>
      </c>
      <c r="O50" t="s">
        <v>39</v>
      </c>
      <c r="P50" t="s">
        <v>39</v>
      </c>
      <c r="Q50">
        <v>1</v>
      </c>
      <c r="Y50">
        <v>16.5</v>
      </c>
      <c r="AA50">
        <v>5.71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16.5</v>
      </c>
      <c r="AV50">
        <v>0</v>
      </c>
    </row>
    <row r="51" spans="1:48" ht="12.75">
      <c r="A51">
        <f>ROW(Source!A33)</f>
        <v>33</v>
      </c>
      <c r="B51">
        <v>9796592</v>
      </c>
      <c r="C51">
        <v>9796583</v>
      </c>
      <c r="D51">
        <v>4858904</v>
      </c>
      <c r="E51">
        <v>1</v>
      </c>
      <c r="F51">
        <v>1</v>
      </c>
      <c r="G51">
        <v>1</v>
      </c>
      <c r="H51">
        <v>3</v>
      </c>
      <c r="I51" t="s">
        <v>199</v>
      </c>
      <c r="J51" t="s">
        <v>199</v>
      </c>
      <c r="K51" t="s">
        <v>200</v>
      </c>
      <c r="L51">
        <v>1348</v>
      </c>
      <c r="N51">
        <v>1009</v>
      </c>
      <c r="O51" t="s">
        <v>142</v>
      </c>
      <c r="P51" t="s">
        <v>142</v>
      </c>
      <c r="Q51">
        <v>1000</v>
      </c>
      <c r="Y51">
        <v>0.128</v>
      </c>
      <c r="AA51">
        <v>28547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0.128</v>
      </c>
      <c r="AV51">
        <v>0</v>
      </c>
    </row>
    <row r="52" spans="1:48" ht="12.75">
      <c r="A52">
        <f>ROW(Source!A33)</f>
        <v>33</v>
      </c>
      <c r="B52">
        <v>9796593</v>
      </c>
      <c r="C52">
        <v>9796583</v>
      </c>
      <c r="D52">
        <v>4859001</v>
      </c>
      <c r="E52">
        <v>1</v>
      </c>
      <c r="F52">
        <v>1</v>
      </c>
      <c r="G52">
        <v>1</v>
      </c>
      <c r="H52">
        <v>3</v>
      </c>
      <c r="I52" t="s">
        <v>151</v>
      </c>
      <c r="J52" t="s">
        <v>151</v>
      </c>
      <c r="K52" t="s">
        <v>152</v>
      </c>
      <c r="L52">
        <v>1348</v>
      </c>
      <c r="N52">
        <v>1009</v>
      </c>
      <c r="O52" t="s">
        <v>142</v>
      </c>
      <c r="P52" t="s">
        <v>142</v>
      </c>
      <c r="Q52">
        <v>1000</v>
      </c>
      <c r="Y52">
        <v>0.31</v>
      </c>
      <c r="AA52">
        <v>688.8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0.31</v>
      </c>
      <c r="AV52">
        <v>0</v>
      </c>
    </row>
    <row r="53" spans="1:48" ht="12.75">
      <c r="A53">
        <f>ROW(Source!A33)</f>
        <v>33</v>
      </c>
      <c r="B53">
        <v>9796594</v>
      </c>
      <c r="C53">
        <v>9796583</v>
      </c>
      <c r="D53">
        <v>4859089</v>
      </c>
      <c r="E53">
        <v>1</v>
      </c>
      <c r="F53">
        <v>1</v>
      </c>
      <c r="G53">
        <v>1</v>
      </c>
      <c r="H53">
        <v>3</v>
      </c>
      <c r="I53" t="s">
        <v>201</v>
      </c>
      <c r="J53" t="s">
        <v>201</v>
      </c>
      <c r="K53" t="s">
        <v>202</v>
      </c>
      <c r="L53">
        <v>1348</v>
      </c>
      <c r="N53">
        <v>1009</v>
      </c>
      <c r="O53" t="s">
        <v>142</v>
      </c>
      <c r="P53" t="s">
        <v>142</v>
      </c>
      <c r="Q53">
        <v>1000</v>
      </c>
      <c r="Y53">
        <v>0.0023</v>
      </c>
      <c r="AA53">
        <v>48302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0.0023</v>
      </c>
      <c r="AV53">
        <v>0</v>
      </c>
    </row>
    <row r="54" spans="1:48" ht="12.75">
      <c r="A54">
        <f>ROW(Source!A33)</f>
        <v>33</v>
      </c>
      <c r="B54">
        <v>9796595</v>
      </c>
      <c r="C54">
        <v>9796583</v>
      </c>
      <c r="D54">
        <v>4859107</v>
      </c>
      <c r="E54">
        <v>1</v>
      </c>
      <c r="F54">
        <v>1</v>
      </c>
      <c r="G54">
        <v>1</v>
      </c>
      <c r="H54">
        <v>3</v>
      </c>
      <c r="I54" t="s">
        <v>203</v>
      </c>
      <c r="J54" t="s">
        <v>203</v>
      </c>
      <c r="K54" t="s">
        <v>204</v>
      </c>
      <c r="L54">
        <v>1348</v>
      </c>
      <c r="N54">
        <v>1009</v>
      </c>
      <c r="O54" t="s">
        <v>142</v>
      </c>
      <c r="P54" t="s">
        <v>142</v>
      </c>
      <c r="Q54">
        <v>1000</v>
      </c>
      <c r="Y54">
        <v>0.269</v>
      </c>
      <c r="AA54">
        <v>53562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0.269</v>
      </c>
      <c r="AV54">
        <v>0</v>
      </c>
    </row>
    <row r="55" spans="1:48" ht="12.75">
      <c r="A55">
        <f>ROW(Source!A33)</f>
        <v>33</v>
      </c>
      <c r="B55">
        <v>9796596</v>
      </c>
      <c r="C55">
        <v>9796583</v>
      </c>
      <c r="D55">
        <v>4859111</v>
      </c>
      <c r="E55">
        <v>1</v>
      </c>
      <c r="F55">
        <v>1</v>
      </c>
      <c r="G55">
        <v>1</v>
      </c>
      <c r="H55">
        <v>3</v>
      </c>
      <c r="I55" t="s">
        <v>205</v>
      </c>
      <c r="J55" t="s">
        <v>205</v>
      </c>
      <c r="K55" t="s">
        <v>206</v>
      </c>
      <c r="L55">
        <v>1348</v>
      </c>
      <c r="N55">
        <v>1009</v>
      </c>
      <c r="O55" t="s">
        <v>142</v>
      </c>
      <c r="P55" t="s">
        <v>142</v>
      </c>
      <c r="Q55">
        <v>1000</v>
      </c>
      <c r="Y55">
        <v>0.198</v>
      </c>
      <c r="AA55">
        <v>167235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0.198</v>
      </c>
      <c r="AV55">
        <v>0</v>
      </c>
    </row>
    <row r="56" spans="1:48" ht="12.75">
      <c r="A56">
        <f>ROW(Source!A33)</f>
        <v>33</v>
      </c>
      <c r="B56">
        <v>9796618</v>
      </c>
      <c r="C56">
        <v>9796583</v>
      </c>
      <c r="D56">
        <v>0</v>
      </c>
      <c r="E56">
        <v>0</v>
      </c>
      <c r="F56">
        <v>1</v>
      </c>
      <c r="G56">
        <v>1</v>
      </c>
      <c r="H56">
        <v>3</v>
      </c>
      <c r="I56" t="s">
        <v>55</v>
      </c>
      <c r="K56" t="s">
        <v>75</v>
      </c>
      <c r="L56">
        <v>1346</v>
      </c>
      <c r="N56">
        <v>1009</v>
      </c>
      <c r="O56" t="s">
        <v>39</v>
      </c>
      <c r="P56" t="s">
        <v>39</v>
      </c>
      <c r="Q56">
        <v>1</v>
      </c>
      <c r="Y56">
        <v>45.028143</v>
      </c>
      <c r="AA56">
        <v>49.1</v>
      </c>
      <c r="AB56">
        <v>0</v>
      </c>
      <c r="AC56">
        <v>0</v>
      </c>
      <c r="AD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45.028143</v>
      </c>
      <c r="AV56">
        <v>0</v>
      </c>
    </row>
    <row r="57" spans="1:48" ht="12.75">
      <c r="A57">
        <f>ROW(Source!A33)</f>
        <v>33</v>
      </c>
      <c r="B57">
        <v>9796620</v>
      </c>
      <c r="C57">
        <v>9796583</v>
      </c>
      <c r="D57">
        <v>0</v>
      </c>
      <c r="E57">
        <v>0</v>
      </c>
      <c r="F57">
        <v>1</v>
      </c>
      <c r="G57">
        <v>1</v>
      </c>
      <c r="H57">
        <v>3</v>
      </c>
      <c r="I57" t="s">
        <v>55</v>
      </c>
      <c r="K57" t="s">
        <v>77</v>
      </c>
      <c r="L57">
        <v>1346</v>
      </c>
      <c r="N57">
        <v>1009</v>
      </c>
      <c r="O57" t="s">
        <v>39</v>
      </c>
      <c r="P57" t="s">
        <v>39</v>
      </c>
      <c r="Q57">
        <v>1</v>
      </c>
      <c r="Y57">
        <v>319.981238</v>
      </c>
      <c r="AA57">
        <v>61.39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319.981238</v>
      </c>
      <c r="AV5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2011-05-26T10:31:54Z</cp:lastPrinted>
  <dcterms:created xsi:type="dcterms:W3CDTF">2011-05-30T05:16:42Z</dcterms:created>
  <dcterms:modified xsi:type="dcterms:W3CDTF">2011-05-30T05:16:42Z</dcterms:modified>
  <cp:category/>
  <cp:version/>
  <cp:contentType/>
  <cp:contentStatus/>
</cp:coreProperties>
</file>