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599" activeTab="4"/>
  </bookViews>
  <sheets>
    <sheet name="Оформление" sheetId="1" r:id="rId1"/>
    <sheet name="стройматериалы" sheetId="2" r:id="rId2"/>
    <sheet name="Отопление водоснабж. и канализ." sheetId="3" r:id="rId3"/>
    <sheet name="транспорт" sheetId="4" r:id="rId4"/>
    <sheet name="работа" sheetId="5" r:id="rId5"/>
    <sheet name="деньги" sheetId="6" r:id="rId6"/>
    <sheet name="итого" sheetId="7" r:id="rId7"/>
  </sheets>
  <definedNames>
    <definedName name="_xlnm._FilterDatabase" localSheetId="1" hidden="1">'стройматериалы'!$A$1:$G$373</definedName>
  </definedNames>
  <calcPr fullCalcOnLoad="1"/>
</workbook>
</file>

<file path=xl/sharedStrings.xml><?xml version="1.0" encoding="utf-8"?>
<sst xmlns="http://schemas.openxmlformats.org/spreadsheetml/2006/main" count="1303" uniqueCount="456">
  <si>
    <t>Вид работ</t>
  </si>
  <si>
    <t>Стоимость, руб</t>
  </si>
  <si>
    <t>Стоимость, $</t>
  </si>
  <si>
    <t>Наименование стройматериалов</t>
  </si>
  <si>
    <t>Снос старых построек</t>
  </si>
  <si>
    <t>Вывоз строительного мусора</t>
  </si>
  <si>
    <t>передано денег, руб</t>
  </si>
  <si>
    <t>передано денег, $</t>
  </si>
  <si>
    <t>Дата оплаты</t>
  </si>
  <si>
    <t>Итого:</t>
  </si>
  <si>
    <t>Дата покупки</t>
  </si>
  <si>
    <t>Итого</t>
  </si>
  <si>
    <t>Дата проведения работ</t>
  </si>
  <si>
    <t>26.09.05-29.09.05</t>
  </si>
  <si>
    <t>Устройство фундамента</t>
  </si>
  <si>
    <t>26.09.05-03.10.05</t>
  </si>
  <si>
    <t>фундамент</t>
  </si>
  <si>
    <t>элемент дома</t>
  </si>
  <si>
    <t>труба диаметром 200 мм, 2 метра</t>
  </si>
  <si>
    <t>количество</t>
  </si>
  <si>
    <t>цена единицы, руб</t>
  </si>
  <si>
    <t>Итого, руб</t>
  </si>
  <si>
    <t>Итого, $</t>
  </si>
  <si>
    <t xml:space="preserve">рубероид </t>
  </si>
  <si>
    <t>кнопки</t>
  </si>
  <si>
    <t>пергамин</t>
  </si>
  <si>
    <t>перчатки</t>
  </si>
  <si>
    <t>удлинитель 30 метров</t>
  </si>
  <si>
    <t>черенки</t>
  </si>
  <si>
    <t>шнур</t>
  </si>
  <si>
    <t>Масло для бензопилы</t>
  </si>
  <si>
    <t>28.09.05-05.10.05</t>
  </si>
  <si>
    <t>Работа подъемного крана</t>
  </si>
  <si>
    <t>Итого затрат</t>
  </si>
  <si>
    <t>руб</t>
  </si>
  <si>
    <t>$</t>
  </si>
  <si>
    <t>Передано денег, $</t>
  </si>
  <si>
    <t>Долг за мной, $</t>
  </si>
  <si>
    <t>Долг за бригадой, $</t>
  </si>
  <si>
    <t>03.10.2005-05.10.2005</t>
  </si>
  <si>
    <t xml:space="preserve">доставка и погрузка </t>
  </si>
  <si>
    <t>бетономешалка в т.ч. Доставка 700 р.</t>
  </si>
  <si>
    <t>коммуникации</t>
  </si>
  <si>
    <t>цемент</t>
  </si>
  <si>
    <t>стены</t>
  </si>
  <si>
    <t>поддоны</t>
  </si>
  <si>
    <t>Кирпич облицовочный полуторный</t>
  </si>
  <si>
    <t>Доставка кирпича облицовочного из Рязани</t>
  </si>
  <si>
    <t>Работа подъемного крана по укладке плит на фундамент</t>
  </si>
  <si>
    <t>Грузчики на кирпичном заводе</t>
  </si>
  <si>
    <t>перекрытия</t>
  </si>
  <si>
    <t>На бензин рабочим</t>
  </si>
  <si>
    <t xml:space="preserve">Разгрузка облицовочного кирпича </t>
  </si>
  <si>
    <t>трубы канализационные</t>
  </si>
  <si>
    <t>Передано денег, руб</t>
  </si>
  <si>
    <t>Долг за мной, руб</t>
  </si>
  <si>
    <t>Долг за бригадой, руб</t>
  </si>
  <si>
    <t>плиты 6x1,5</t>
  </si>
  <si>
    <t>плиты 6x1,2</t>
  </si>
  <si>
    <t>Доставка плит из Орла</t>
  </si>
  <si>
    <t>Доставка арматуры</t>
  </si>
  <si>
    <t>противоморозная добавка</t>
  </si>
  <si>
    <t>плиты 5,7x1,2</t>
  </si>
  <si>
    <t>плиты 5,7x1,5</t>
  </si>
  <si>
    <t>дорога</t>
  </si>
  <si>
    <t>ПГС</t>
  </si>
  <si>
    <t>щебень</t>
  </si>
  <si>
    <t>26.11.2005-09.12.2005</t>
  </si>
  <si>
    <t>01.12.2005-09.12.2005</t>
  </si>
  <si>
    <t>скотч</t>
  </si>
  <si>
    <t>пленка</t>
  </si>
  <si>
    <t>соль</t>
  </si>
  <si>
    <t>27.11.2005-09.12.2005</t>
  </si>
  <si>
    <t>кран</t>
  </si>
  <si>
    <t>устройство перекрытия фундамента, разгрузка стройматериалов</t>
  </si>
  <si>
    <t>ведра</t>
  </si>
  <si>
    <t>тачка</t>
  </si>
  <si>
    <t>Сетка металическая</t>
  </si>
  <si>
    <t>доставка цемента</t>
  </si>
  <si>
    <t xml:space="preserve">песок </t>
  </si>
  <si>
    <t xml:space="preserve">Доска 6х150х50 </t>
  </si>
  <si>
    <t>Доска 30х150х6</t>
  </si>
  <si>
    <t>швелер 14</t>
  </si>
  <si>
    <t>Перемычки 1300х120х200</t>
  </si>
  <si>
    <t>Перемычки 1700х120х201</t>
  </si>
  <si>
    <t>Доставка перемычек</t>
  </si>
  <si>
    <t>Ножовка</t>
  </si>
  <si>
    <t>гвозди</t>
  </si>
  <si>
    <t>Уровень</t>
  </si>
  <si>
    <t>Полотно к ножовке по металлу</t>
  </si>
  <si>
    <t xml:space="preserve">доставка кирпича </t>
  </si>
  <si>
    <t>швелер 27</t>
  </si>
  <si>
    <t>пруток 6</t>
  </si>
  <si>
    <t>доставка мет.изд.</t>
  </si>
  <si>
    <t xml:space="preserve">воздуховоды </t>
  </si>
  <si>
    <t>песок</t>
  </si>
  <si>
    <t>бетон</t>
  </si>
  <si>
    <t>доставка бетона</t>
  </si>
  <si>
    <t>кирпич полуторный обычный</t>
  </si>
  <si>
    <t>залог за поддоны</t>
  </si>
  <si>
    <t>разгрузка кирпича манипулятором</t>
  </si>
  <si>
    <t>Работа подъмного крана по перекрытию 1-го этажа</t>
  </si>
  <si>
    <t>Перевозка плит с улицы водвор</t>
  </si>
  <si>
    <t xml:space="preserve">проволока </t>
  </si>
  <si>
    <t>веревка</t>
  </si>
  <si>
    <t>подъем манипулятором кирпича</t>
  </si>
  <si>
    <t>Доставка</t>
  </si>
  <si>
    <t>Погрузка кирпича и блоков на 2-й этаж</t>
  </si>
  <si>
    <t>подъем краном кирпича</t>
  </si>
  <si>
    <t>кладка стен (1-й этаж)</t>
  </si>
  <si>
    <t>2-й этаж, облицовка</t>
  </si>
  <si>
    <t>устройство перекрытия 1-го этажа</t>
  </si>
  <si>
    <t>2-й этаж, блоки</t>
  </si>
  <si>
    <t>душ</t>
  </si>
  <si>
    <t>грунтовка</t>
  </si>
  <si>
    <t>резка уголка</t>
  </si>
  <si>
    <t>бочка 125л.</t>
  </si>
  <si>
    <t>доставка кирпича</t>
  </si>
  <si>
    <t>гофра</t>
  </si>
  <si>
    <t>арматура</t>
  </si>
  <si>
    <t>кирпич</t>
  </si>
  <si>
    <t>перемычки</t>
  </si>
  <si>
    <t>крыша</t>
  </si>
  <si>
    <t>брус 150х150</t>
  </si>
  <si>
    <t>2 и 3 этажи облицовка</t>
  </si>
  <si>
    <t>2 и 3 этажи блоки</t>
  </si>
  <si>
    <t>устройство перекрытия 2-го этажа</t>
  </si>
  <si>
    <t>29.06.2006-24.07.06</t>
  </si>
  <si>
    <t>доски</t>
  </si>
  <si>
    <t>пластиковая вгонка 100шт.</t>
  </si>
  <si>
    <t>метоллочерепица и акскссуары</t>
  </si>
  <si>
    <t>зонтик дымохода</t>
  </si>
  <si>
    <t>флюгер</t>
  </si>
  <si>
    <t>08.08.06-17.09.06</t>
  </si>
  <si>
    <t>дымоходы</t>
  </si>
  <si>
    <t>подшивка и отливы</t>
  </si>
  <si>
    <t>кладка перестенков (3-й этаж)</t>
  </si>
  <si>
    <t>Кран</t>
  </si>
  <si>
    <t>Песок</t>
  </si>
  <si>
    <t>брус 100х100х6 20 шт.</t>
  </si>
  <si>
    <t>брус 100х150х6 7 шт.</t>
  </si>
  <si>
    <t>доставка и разгрузка</t>
  </si>
  <si>
    <t>сверло 10х260</t>
  </si>
  <si>
    <t>гайки, болты, шайбы</t>
  </si>
  <si>
    <t>саморезы</t>
  </si>
  <si>
    <t>оцинкованный лист</t>
  </si>
  <si>
    <t>фурнитура</t>
  </si>
  <si>
    <t xml:space="preserve">скобы строительные </t>
  </si>
  <si>
    <t>силикон</t>
  </si>
  <si>
    <t>дюбели</t>
  </si>
  <si>
    <t>утеплитель на потолок</t>
  </si>
  <si>
    <t>камень природный "Уфимский"</t>
  </si>
  <si>
    <t>сварочный аппарат "Русич"</t>
  </si>
  <si>
    <t>кабель</t>
  </si>
  <si>
    <t>электроды</t>
  </si>
  <si>
    <t>маска</t>
  </si>
  <si>
    <t>ворота гаражные</t>
  </si>
  <si>
    <t>окна</t>
  </si>
  <si>
    <t>клей плиточый</t>
  </si>
  <si>
    <t xml:space="preserve">брус 50х150х6 </t>
  </si>
  <si>
    <t xml:space="preserve">доска обрезная 25х150х6 </t>
  </si>
  <si>
    <t>доска 25х150х6</t>
  </si>
  <si>
    <t>моющая смесь для камня</t>
  </si>
  <si>
    <t>пропитка-лак для камня</t>
  </si>
  <si>
    <t>металл</t>
  </si>
  <si>
    <t>кирпич шамотный</t>
  </si>
  <si>
    <t>Диск для болгарки</t>
  </si>
  <si>
    <t xml:space="preserve">уголок </t>
  </si>
  <si>
    <t>внутр. отделка</t>
  </si>
  <si>
    <t>щетка металлическая</t>
  </si>
  <si>
    <t>огнеупорная смесь</t>
  </si>
  <si>
    <t>кисти</t>
  </si>
  <si>
    <t>шпатель</t>
  </si>
  <si>
    <t>миксер</t>
  </si>
  <si>
    <t>крандаши</t>
  </si>
  <si>
    <t>бур</t>
  </si>
  <si>
    <t>задвижка</t>
  </si>
  <si>
    <t>плиточный клей</t>
  </si>
  <si>
    <t>обод</t>
  </si>
  <si>
    <t>ПВА</t>
  </si>
  <si>
    <t>бита</t>
  </si>
  <si>
    <t>швелер</t>
  </si>
  <si>
    <t>уголок</t>
  </si>
  <si>
    <t>разбрызгиватель</t>
  </si>
  <si>
    <t xml:space="preserve">удлинитель </t>
  </si>
  <si>
    <t>патрон</t>
  </si>
  <si>
    <t>лампа</t>
  </si>
  <si>
    <t>шамотная глина</t>
  </si>
  <si>
    <t>очки</t>
  </si>
  <si>
    <t>респиратор</t>
  </si>
  <si>
    <t xml:space="preserve">щетка </t>
  </si>
  <si>
    <t>метизы</t>
  </si>
  <si>
    <t>дверка</t>
  </si>
  <si>
    <t>маяки</t>
  </si>
  <si>
    <t>петли</t>
  </si>
  <si>
    <t>напильник</t>
  </si>
  <si>
    <t>облицовка цокольного этажа</t>
  </si>
  <si>
    <t>печь</t>
  </si>
  <si>
    <t>камин</t>
  </si>
  <si>
    <t>лестница</t>
  </si>
  <si>
    <t>двери</t>
  </si>
  <si>
    <t>стена в гараже</t>
  </si>
  <si>
    <t xml:space="preserve">арматура </t>
  </si>
  <si>
    <t xml:space="preserve">бетон </t>
  </si>
  <si>
    <t xml:space="preserve">гвозди </t>
  </si>
  <si>
    <t xml:space="preserve">гофра </t>
  </si>
  <si>
    <t xml:space="preserve">Кирпич </t>
  </si>
  <si>
    <t xml:space="preserve">кирпич </t>
  </si>
  <si>
    <t xml:space="preserve">лопата </t>
  </si>
  <si>
    <t xml:space="preserve">кирпич огнеупорный </t>
  </si>
  <si>
    <t>пеноблоки 200х300х600</t>
  </si>
  <si>
    <t>пеноблоки 100х300х600</t>
  </si>
  <si>
    <t>плёнка гидроизоляционная</t>
  </si>
  <si>
    <t xml:space="preserve">доставка + погрузка бруса </t>
  </si>
  <si>
    <t>проволока</t>
  </si>
  <si>
    <t xml:space="preserve">цемент </t>
  </si>
  <si>
    <t>Дата перевозки</t>
  </si>
  <si>
    <t>подшивка потолка и утеплитель</t>
  </si>
  <si>
    <t>канализационные трубы</t>
  </si>
  <si>
    <t>канализация</t>
  </si>
  <si>
    <t>правило и терки</t>
  </si>
  <si>
    <t>известь</t>
  </si>
  <si>
    <t>таз</t>
  </si>
  <si>
    <t>правило</t>
  </si>
  <si>
    <t>терка</t>
  </si>
  <si>
    <t>смесь м150</t>
  </si>
  <si>
    <t>алибастр</t>
  </si>
  <si>
    <t>очиститель фасада</t>
  </si>
  <si>
    <t>сетка москитная</t>
  </si>
  <si>
    <t>нить</t>
  </si>
  <si>
    <t>11.06.07-13.07.07</t>
  </si>
  <si>
    <t>Штукатурка 870м²</t>
  </si>
  <si>
    <t>балконы</t>
  </si>
  <si>
    <t>кованные ограждения балконов</t>
  </si>
  <si>
    <t>электропроводка</t>
  </si>
  <si>
    <t>Кабель ПУГНП 3*2,5</t>
  </si>
  <si>
    <t>Кабель ПВС 3*6</t>
  </si>
  <si>
    <t>гофра, 15 мм</t>
  </si>
  <si>
    <t>гофра, 20 мм</t>
  </si>
  <si>
    <t>Пуфас</t>
  </si>
  <si>
    <t>подрозетники, коробки</t>
  </si>
  <si>
    <t>Кабель FVTP 4*2</t>
  </si>
  <si>
    <t>Изолента</t>
  </si>
  <si>
    <t>Автоматика</t>
  </si>
  <si>
    <t>Насадка</t>
  </si>
  <si>
    <t>Зажимы</t>
  </si>
  <si>
    <t>05.06.07-31.07.07</t>
  </si>
  <si>
    <t>Монтаж электропроводки</t>
  </si>
  <si>
    <t>Шпатлевка</t>
  </si>
  <si>
    <t>гипс</t>
  </si>
  <si>
    <t>07.08.07-07.09.07</t>
  </si>
  <si>
    <t>Штукатурка 150м²</t>
  </si>
  <si>
    <t>Откосы 172м</t>
  </si>
  <si>
    <t>доска 25х180х6</t>
  </si>
  <si>
    <t>липкая лента</t>
  </si>
  <si>
    <t>Наименование документа</t>
  </si>
  <si>
    <t>лето 2005</t>
  </si>
  <si>
    <t>Проект</t>
  </si>
  <si>
    <t>Цена, руб</t>
  </si>
  <si>
    <t>Тепло технический проект</t>
  </si>
  <si>
    <t>Регистрация в БТИ старого дома</t>
  </si>
  <si>
    <t>Однолинейная схема электрических сетей и расчет нагузки потребителя электрической энергии</t>
  </si>
  <si>
    <t>Технический паспорт</t>
  </si>
  <si>
    <t>№</t>
  </si>
  <si>
    <t>Наименование товара</t>
  </si>
  <si>
    <t>кол-во</t>
  </si>
  <si>
    <t>Радиатор Kermi Profil V тип 11, 500/500</t>
  </si>
  <si>
    <t>Радиатор Kermi Profil V тип 11, 500/700</t>
  </si>
  <si>
    <t>Радиатор Kermi Profil V тип 11, 500/800</t>
  </si>
  <si>
    <t>Радиатор Kermi Profil V  тип 11, 500/900</t>
  </si>
  <si>
    <t>Радиатор Kermi Profil V тип 22, 500/700</t>
  </si>
  <si>
    <t>Радиатор Kermi Profil V тип 22, 500/900</t>
  </si>
  <si>
    <t>Радиатор Kermi Profil V тип 22, 500/1000</t>
  </si>
  <si>
    <t>Адаптер д\уз. н. поключения</t>
  </si>
  <si>
    <t>Узел н. подключения угловой</t>
  </si>
  <si>
    <t>Мультифольга - 4мм</t>
  </si>
  <si>
    <t>Демпферная лента</t>
  </si>
  <si>
    <t>Кран шаровый с фитингом 1"</t>
  </si>
  <si>
    <t>единица</t>
  </si>
  <si>
    <t>цена, руб</t>
  </si>
  <si>
    <t>Сумма, руб</t>
  </si>
  <si>
    <t>Сумма, $</t>
  </si>
  <si>
    <t>Шкаф встроенный ШРВ-2 670х125х594</t>
  </si>
  <si>
    <t>Шкаф встроенный ШРВ-4 670х125х894</t>
  </si>
  <si>
    <t>Шкаф наружный ШРВ-2 651х120х553</t>
  </si>
  <si>
    <t>Шкаф наружный ШРВ-4 651х120х53</t>
  </si>
  <si>
    <t>терморегулятор 013L4250</t>
  </si>
  <si>
    <t xml:space="preserve">Труба металлопластиковая "Coeskim Super K" белая 16 Х 2,0 </t>
  </si>
  <si>
    <t>шт</t>
  </si>
  <si>
    <t>м</t>
  </si>
  <si>
    <t>м²</t>
  </si>
  <si>
    <t>рулон</t>
  </si>
  <si>
    <t>комплект</t>
  </si>
  <si>
    <t>Гребнки 12 выходов</t>
  </si>
  <si>
    <t>Труба полипропиленоая Ø 32мм</t>
  </si>
  <si>
    <r>
      <t>уголок Ø32х90</t>
    </r>
    <r>
      <rPr>
        <sz val="10"/>
        <rFont val="Arial"/>
        <family val="2"/>
      </rPr>
      <t>°</t>
    </r>
    <r>
      <rPr>
        <sz val="10"/>
        <rFont val="Arial Cyr"/>
        <family val="0"/>
      </rPr>
      <t> </t>
    </r>
  </si>
  <si>
    <r>
      <t>уголок Ø32х45</t>
    </r>
    <r>
      <rPr>
        <sz val="10"/>
        <rFont val="Arial"/>
        <family val="2"/>
      </rPr>
      <t>°</t>
    </r>
    <r>
      <rPr>
        <sz val="10"/>
        <rFont val="Arial Cyr"/>
        <family val="0"/>
      </rPr>
      <t> </t>
    </r>
  </si>
  <si>
    <t>тройник 32х1" внутр</t>
  </si>
  <si>
    <t>уголок 32х1" внутр</t>
  </si>
  <si>
    <t>кран шаровый 1/2"</t>
  </si>
  <si>
    <t>клапн</t>
  </si>
  <si>
    <t>нипель1"х1/2</t>
  </si>
  <si>
    <t>нипель1"</t>
  </si>
  <si>
    <t>уголок 1/2</t>
  </si>
  <si>
    <t>цапли 16 нар.</t>
  </si>
  <si>
    <t>муфта Ø32</t>
  </si>
  <si>
    <t>лен</t>
  </si>
  <si>
    <t>моток</t>
  </si>
  <si>
    <t>клипсы Ø32</t>
  </si>
  <si>
    <t>заглушки 1"</t>
  </si>
  <si>
    <t>утеплитель Ø32 по 2 метра</t>
  </si>
  <si>
    <t>утеплитель Ø16 по 2 метра</t>
  </si>
  <si>
    <t>клипсы Ø16</t>
  </si>
  <si>
    <t>клипсы Ø25</t>
  </si>
  <si>
    <t>карандаш</t>
  </si>
  <si>
    <t>дюбели 6х40</t>
  </si>
  <si>
    <t>упаковка</t>
  </si>
  <si>
    <t>саморезы 50 мм</t>
  </si>
  <si>
    <t>кг</t>
  </si>
  <si>
    <t>крепеж</t>
  </si>
  <si>
    <t>диски на болгрку</t>
  </si>
  <si>
    <t>лампочки</t>
  </si>
  <si>
    <t>патроны под лампочки</t>
  </si>
  <si>
    <r>
      <t>уголок 32х90</t>
    </r>
    <r>
      <rPr>
        <sz val="10"/>
        <rFont val="Arial"/>
        <family val="2"/>
      </rPr>
      <t>°</t>
    </r>
  </si>
  <si>
    <t>муфта Ø32х1" внутренняя</t>
  </si>
  <si>
    <t>муфта Ø32х1" наружная</t>
  </si>
  <si>
    <t>Доставка + погрузка досок</t>
  </si>
  <si>
    <t>муфта</t>
  </si>
  <si>
    <t>трап</t>
  </si>
  <si>
    <t>утеплитель</t>
  </si>
  <si>
    <t>шпилька м8</t>
  </si>
  <si>
    <t>кронштейн для гребенки</t>
  </si>
  <si>
    <t>уголок скрытый Ø16</t>
  </si>
  <si>
    <t>кран 3/4</t>
  </si>
  <si>
    <t>кран 1/2</t>
  </si>
  <si>
    <t>нипель</t>
  </si>
  <si>
    <t>нипель 3/4</t>
  </si>
  <si>
    <t>нипель 1/2</t>
  </si>
  <si>
    <t>изолента</t>
  </si>
  <si>
    <t>заглушка 3/4</t>
  </si>
  <si>
    <t>фумлента</t>
  </si>
  <si>
    <t>бочёнок 5 см</t>
  </si>
  <si>
    <t>нипель 1"х 3/4</t>
  </si>
  <si>
    <t>нижний кран</t>
  </si>
  <si>
    <t>гребнки 2 выхода</t>
  </si>
  <si>
    <t>гребнки 3 выхода</t>
  </si>
  <si>
    <t>гребнки 4 выхода</t>
  </si>
  <si>
    <t>колекор 4 выхода</t>
  </si>
  <si>
    <t>колекор 2 выхода</t>
  </si>
  <si>
    <t>воздушник</t>
  </si>
  <si>
    <t>тройник Ø32</t>
  </si>
  <si>
    <t>тройник Ø32х1"</t>
  </si>
  <si>
    <t>уголок Ø32х1" внутр.</t>
  </si>
  <si>
    <t>уголок Ø32х90° </t>
  </si>
  <si>
    <t>уголок Ø32х45° </t>
  </si>
  <si>
    <t>заглушки 1/2"</t>
  </si>
  <si>
    <t>уголок 50х45° </t>
  </si>
  <si>
    <t>уголок 50х90° </t>
  </si>
  <si>
    <t>тройник 50х45° </t>
  </si>
  <si>
    <t>тройник 110х45° </t>
  </si>
  <si>
    <t>ревизия</t>
  </si>
  <si>
    <t>уголок 110х45° </t>
  </si>
  <si>
    <t>уголок 110х90° </t>
  </si>
  <si>
    <t>пена</t>
  </si>
  <si>
    <t>смывка пены</t>
  </si>
  <si>
    <t>труба Ø32</t>
  </si>
  <si>
    <t>труба Ø20</t>
  </si>
  <si>
    <t>уголок 20х90</t>
  </si>
  <si>
    <t>уголок 20х1/2"</t>
  </si>
  <si>
    <t>кран 1/2"</t>
  </si>
  <si>
    <t>уголок 25х3/4</t>
  </si>
  <si>
    <t>тройник 3220</t>
  </si>
  <si>
    <t>лезвия</t>
  </si>
  <si>
    <t>труба 2м Ø110</t>
  </si>
  <si>
    <t>труба 1м Ø110</t>
  </si>
  <si>
    <t>труба 2м Ø50</t>
  </si>
  <si>
    <t>труба 1м Ø50</t>
  </si>
  <si>
    <t>труба  Ø32</t>
  </si>
  <si>
    <t>утеплитель Ø35</t>
  </si>
  <si>
    <t>утеплитель Ø110</t>
  </si>
  <si>
    <t>утеплитель Ø16</t>
  </si>
  <si>
    <t>хомут Ø110</t>
  </si>
  <si>
    <t>хомут Ø50</t>
  </si>
  <si>
    <t>труба 0,5м Ø50</t>
  </si>
  <si>
    <t>тройник 110х50 </t>
  </si>
  <si>
    <t>тройник Ø16</t>
  </si>
  <si>
    <t>Тех.условия на газ</t>
  </si>
  <si>
    <t>уголок Ø32</t>
  </si>
  <si>
    <t>муфта Ø32х25</t>
  </si>
  <si>
    <t>заглушки 3/4</t>
  </si>
  <si>
    <t>труба  Ø50</t>
  </si>
  <si>
    <t>крестовина</t>
  </si>
  <si>
    <t>кран 1"</t>
  </si>
  <si>
    <t xml:space="preserve">муфта 32х25 </t>
  </si>
  <si>
    <t>тройник 32х25</t>
  </si>
  <si>
    <t>труба Ø32 армированная</t>
  </si>
  <si>
    <t>метр</t>
  </si>
  <si>
    <t>утеплитель Ø32</t>
  </si>
  <si>
    <t>труба Ø50 1м</t>
  </si>
  <si>
    <t>труба Ø50 2м</t>
  </si>
  <si>
    <t>утеплитель Ø25</t>
  </si>
  <si>
    <t>труба Ø110 1м</t>
  </si>
  <si>
    <t>труба Ø25</t>
  </si>
  <si>
    <t xml:space="preserve">Труба металлопластиковая  белая 16 Х 2,0 </t>
  </si>
  <si>
    <t>09.03.08-01.04.08</t>
  </si>
  <si>
    <t>монтаж системы отопления 36 радиаторов х 90$</t>
  </si>
  <si>
    <t>01.04.09-13.04.08</t>
  </si>
  <si>
    <t>монтаж водоснабжения и канализаци</t>
  </si>
  <si>
    <t>труба Ø25 армированная</t>
  </si>
  <si>
    <t>уголок Ø25</t>
  </si>
  <si>
    <t>мута 20х1/2</t>
  </si>
  <si>
    <t>тройник  Ø32</t>
  </si>
  <si>
    <t>муфта Ø20</t>
  </si>
  <si>
    <t>сяжка пола</t>
  </si>
  <si>
    <t>труба для маяков</t>
  </si>
  <si>
    <t>керамзит</t>
  </si>
  <si>
    <t>забор</t>
  </si>
  <si>
    <t>столбик 80х40х3000</t>
  </si>
  <si>
    <t>09.04.08-18.04.08</t>
  </si>
  <si>
    <t>стяжка пола</t>
  </si>
  <si>
    <t>09.04.2008-18.04.2008</t>
  </si>
  <si>
    <t>стяжка пола 400м²х14$</t>
  </si>
  <si>
    <t>Проектирование и согласование электроснабжения</t>
  </si>
  <si>
    <t>Проект газоснабжения</t>
  </si>
  <si>
    <t>Котел Logano G334-115 WS (в собр. виде)</t>
  </si>
  <si>
    <t>Бак-водонагреватель Logalux SU300</t>
  </si>
  <si>
    <t>Система управления Logamatic 4211 "RU"</t>
  </si>
  <si>
    <t>Функциональный модуль FM442 "RU"</t>
  </si>
  <si>
    <t>Кабель горелки 2-й ступени 4,3м</t>
  </si>
  <si>
    <t>Мембранный расширительный бак ГВС 25/10</t>
  </si>
  <si>
    <t>Мембранный расширительный бак 80/6</t>
  </si>
  <si>
    <t>Группа безопасности бака-в/н SG160S 3/4" 8бар</t>
  </si>
  <si>
    <t>Группа безопасности котла 1" SV 1" до 200 кВт</t>
  </si>
  <si>
    <t>Комплект датчика FV/FZ</t>
  </si>
  <si>
    <t>Система контроля дымовых газов AW50.2-Kombi</t>
  </si>
  <si>
    <t>Прибор контроля давления газа (для G334)</t>
  </si>
  <si>
    <t>Датчик температуры бака-в/н AS1</t>
  </si>
  <si>
    <t>Смеситель 3-х ходовой Logafix 3G25</t>
  </si>
  <si>
    <t>Сервопривод Logafix В 66М</t>
  </si>
  <si>
    <t>доставка цемента и керамзита 6 рейсов</t>
  </si>
  <si>
    <t>отопление</t>
  </si>
  <si>
    <t>доставка отельного оборудования</t>
  </si>
  <si>
    <t>Рабты по прокладке и монтажу газопровода</t>
  </si>
  <si>
    <t xml:space="preserve">окно </t>
  </si>
  <si>
    <t>Насосы и всё для обвязки котельни</t>
  </si>
  <si>
    <t>Договр на сервисное обслуживание котла</t>
  </si>
  <si>
    <t>плитка на пол в котельной</t>
  </si>
  <si>
    <t>Трубы для соединения котла и дымохода Ø250</t>
  </si>
  <si>
    <t>сверла</t>
  </si>
  <si>
    <t>Пена мотажная</t>
  </si>
  <si>
    <t>откачка воды из траншеи</t>
  </si>
  <si>
    <t>копка траншеи на газ</t>
  </si>
  <si>
    <t>вставка окна и закладка дверей кирпичем</t>
  </si>
  <si>
    <t>Врезка</t>
  </si>
  <si>
    <t>Пуск и приемка  в эксплуатацию газопровода</t>
  </si>
  <si>
    <t>Обвязка котельной + пусконаладка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</si>
</sst>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000"/>
    <numFmt numFmtId="166" formatCode="0.00000"/>
    <numFmt numFmtId="167" formatCode="0.0000"/>
    <numFmt numFmtId="168" formatCode="0.00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3" fontId="0" fillId="0" borderId="0" xfId="58" applyFont="1" applyAlignment="1">
      <alignment horizontal="center"/>
    </xf>
    <xf numFmtId="43" fontId="1" fillId="0" borderId="0" xfId="58" applyFont="1" applyAlignment="1">
      <alignment horizontal="center"/>
    </xf>
    <xf numFmtId="43" fontId="1" fillId="0" borderId="10" xfId="58" applyFont="1" applyBorder="1" applyAlignment="1">
      <alignment horizontal="center"/>
    </xf>
    <xf numFmtId="43" fontId="0" fillId="0" borderId="10" xfId="58" applyFont="1" applyBorder="1" applyAlignment="1">
      <alignment horizontal="center"/>
    </xf>
    <xf numFmtId="14" fontId="0" fillId="0" borderId="10" xfId="58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43" fontId="1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3" fontId="1" fillId="0" borderId="0" xfId="58" applyFont="1" applyAlignment="1">
      <alignment/>
    </xf>
    <xf numFmtId="0" fontId="1" fillId="0" borderId="0" xfId="0" applyFont="1" applyAlignment="1">
      <alignment/>
    </xf>
    <xf numFmtId="14" fontId="0" fillId="0" borderId="10" xfId="0" applyNumberFormat="1" applyBorder="1" applyAlignment="1">
      <alignment horizontal="left"/>
    </xf>
    <xf numFmtId="43" fontId="1" fillId="0" borderId="0" xfId="0" applyNumberFormat="1" applyFont="1" applyAlignment="1">
      <alignment/>
    </xf>
    <xf numFmtId="43" fontId="0" fillId="0" borderId="10" xfId="58" applyFont="1" applyFill="1" applyBorder="1" applyAlignment="1">
      <alignment horizontal="center"/>
    </xf>
    <xf numFmtId="14" fontId="0" fillId="0" borderId="10" xfId="58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58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10" xfId="58" applyNumberFormat="1" applyFont="1" applyFill="1" applyBorder="1" applyAlignment="1">
      <alignment horizontal="center"/>
    </xf>
    <xf numFmtId="43" fontId="0" fillId="0" borderId="10" xfId="58" applyBorder="1" applyAlignment="1">
      <alignment horizontal="center"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43" fontId="0" fillId="0" borderId="10" xfId="58" applyFont="1" applyBorder="1" applyAlignment="1">
      <alignment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20.875" style="1" customWidth="1"/>
    <col min="2" max="2" width="55.25390625" style="1" customWidth="1"/>
    <col min="3" max="3" width="17.75390625" style="1" customWidth="1"/>
    <col min="4" max="4" width="13.375" style="1" customWidth="1"/>
    <col min="5" max="16384" width="9.125" style="1" customWidth="1"/>
  </cols>
  <sheetData>
    <row r="1" spans="1:4" s="2" customFormat="1" ht="12.75">
      <c r="A1" s="9" t="s">
        <v>10</v>
      </c>
      <c r="B1" s="9" t="s">
        <v>255</v>
      </c>
      <c r="C1" s="9" t="s">
        <v>258</v>
      </c>
      <c r="D1" s="9" t="s">
        <v>22</v>
      </c>
    </row>
    <row r="2" spans="1:4" ht="12.75">
      <c r="A2" s="14" t="s">
        <v>256</v>
      </c>
      <c r="B2" s="10" t="s">
        <v>257</v>
      </c>
      <c r="C2" s="7">
        <v>58000</v>
      </c>
      <c r="D2" s="7">
        <v>2000</v>
      </c>
    </row>
    <row r="3" spans="1:4" ht="12.75">
      <c r="A3" s="14">
        <v>39384</v>
      </c>
      <c r="B3" s="10" t="s">
        <v>259</v>
      </c>
      <c r="C3" s="7">
        <v>5000</v>
      </c>
      <c r="D3" s="7">
        <f>C3/24.7</f>
        <v>202.42914979757086</v>
      </c>
    </row>
    <row r="4" spans="1:4" ht="12.75">
      <c r="A4" s="14">
        <v>39384</v>
      </c>
      <c r="B4" s="10" t="s">
        <v>260</v>
      </c>
      <c r="C4" s="7">
        <v>310</v>
      </c>
      <c r="D4" s="7">
        <f>C4/24.5</f>
        <v>12.653061224489797</v>
      </c>
    </row>
    <row r="5" spans="1:4" ht="25.5">
      <c r="A5" s="14">
        <v>39388</v>
      </c>
      <c r="B5" s="29" t="s">
        <v>261</v>
      </c>
      <c r="C5" s="7">
        <v>4000</v>
      </c>
      <c r="D5" s="7">
        <f>C5/24.7</f>
        <v>161.94331983805668</v>
      </c>
    </row>
    <row r="6" spans="1:4" ht="12.75">
      <c r="A6" s="14">
        <v>39487</v>
      </c>
      <c r="B6" s="29" t="s">
        <v>262</v>
      </c>
      <c r="C6" s="7">
        <f>4116.36+1090</f>
        <v>5206.36</v>
      </c>
      <c r="D6" s="7">
        <f>C6/24.7</f>
        <v>210.78380566801619</v>
      </c>
    </row>
    <row r="7" spans="1:4" ht="12.75">
      <c r="A7" s="14">
        <v>39550</v>
      </c>
      <c r="B7" s="29" t="s">
        <v>386</v>
      </c>
      <c r="C7" s="7">
        <v>15740</v>
      </c>
      <c r="D7" s="7">
        <f>C7/23.45</f>
        <v>671.2153518123667</v>
      </c>
    </row>
    <row r="8" spans="1:4" ht="12.75">
      <c r="A8" s="14">
        <v>39622</v>
      </c>
      <c r="B8" s="29" t="s">
        <v>423</v>
      </c>
      <c r="C8" s="7">
        <v>16034</v>
      </c>
      <c r="D8" s="7">
        <f>C8/23.4</f>
        <v>685.2136752136753</v>
      </c>
    </row>
    <row r="9" spans="1:4" ht="12.75">
      <c r="A9" s="14">
        <v>39657</v>
      </c>
      <c r="B9" s="29" t="s">
        <v>422</v>
      </c>
      <c r="C9" s="7">
        <v>27500</v>
      </c>
      <c r="D9" s="7">
        <f>C9/23.3</f>
        <v>1180.2575107296136</v>
      </c>
    </row>
    <row r="10" spans="1:4" ht="12.75">
      <c r="A10" s="14">
        <v>39736</v>
      </c>
      <c r="B10" s="29" t="s">
        <v>445</v>
      </c>
      <c r="C10" s="7">
        <v>3100</v>
      </c>
      <c r="D10" s="7">
        <f>C10/24.9</f>
        <v>124.4979919678715</v>
      </c>
    </row>
    <row r="11" spans="1:4" ht="12.75">
      <c r="A11" s="14">
        <v>39772</v>
      </c>
      <c r="B11" s="29" t="s">
        <v>453</v>
      </c>
      <c r="C11" s="7">
        <v>27132.97</v>
      </c>
      <c r="D11" s="7">
        <f>C11/27.4</f>
        <v>990.2543795620439</v>
      </c>
    </row>
    <row r="12" spans="1:4" ht="12.75">
      <c r="A12" s="14">
        <v>39772</v>
      </c>
      <c r="B12" s="29" t="s">
        <v>454</v>
      </c>
      <c r="C12" s="7">
        <v>3109.58</v>
      </c>
      <c r="D12" s="7">
        <f>C12/27.4</f>
        <v>113.48832116788321</v>
      </c>
    </row>
    <row r="13" spans="1:4" ht="12.75">
      <c r="A13" s="14">
        <v>39787</v>
      </c>
      <c r="B13" s="29" t="s">
        <v>455</v>
      </c>
      <c r="C13" s="7">
        <v>30000</v>
      </c>
      <c r="D13" s="7">
        <f>C13/28</f>
        <v>1071.4285714285713</v>
      </c>
    </row>
    <row r="14" spans="1:4" s="2" customFormat="1" ht="12.75">
      <c r="A14" s="9" t="s">
        <v>11</v>
      </c>
      <c r="B14" s="12"/>
      <c r="C14" s="6">
        <f>SUM(C2:C13)</f>
        <v>195132.90999999997</v>
      </c>
      <c r="D14" s="6">
        <f>SUM(D2:D13)</f>
        <v>7424.16513841016</v>
      </c>
    </row>
    <row r="15" spans="1:4" s="2" customFormat="1" ht="12.75">
      <c r="A15" s="21"/>
      <c r="B15" s="23"/>
      <c r="C15" s="24"/>
      <c r="D15" s="2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4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F365" sqref="F365:F372"/>
    </sheetView>
  </sheetViews>
  <sheetFormatPr defaultColWidth="9.00390625" defaultRowHeight="12.75"/>
  <cols>
    <col min="1" max="1" width="20.875" style="1" customWidth="1"/>
    <col min="2" max="2" width="17.75390625" style="1" customWidth="1"/>
    <col min="3" max="3" width="38.625" style="1" customWidth="1"/>
    <col min="4" max="4" width="16.375" style="1" customWidth="1"/>
    <col min="5" max="5" width="23.00390625" style="1" customWidth="1"/>
    <col min="6" max="6" width="14.75390625" style="1" customWidth="1"/>
    <col min="7" max="7" width="13.375" style="1" customWidth="1"/>
    <col min="8" max="16384" width="9.125" style="1" customWidth="1"/>
  </cols>
  <sheetData>
    <row r="1" spans="1:7" s="2" customFormat="1" ht="12.75">
      <c r="A1" s="9" t="s">
        <v>10</v>
      </c>
      <c r="B1" s="9" t="s">
        <v>17</v>
      </c>
      <c r="C1" s="9" t="s">
        <v>3</v>
      </c>
      <c r="D1" s="9" t="s">
        <v>19</v>
      </c>
      <c r="E1" s="9" t="s">
        <v>20</v>
      </c>
      <c r="F1" s="9" t="s">
        <v>21</v>
      </c>
      <c r="G1" s="9" t="s">
        <v>22</v>
      </c>
    </row>
    <row r="2" spans="1:7" ht="12.75">
      <c r="A2" s="14">
        <v>38624</v>
      </c>
      <c r="B2" s="14" t="s">
        <v>16</v>
      </c>
      <c r="C2" s="10" t="s">
        <v>79</v>
      </c>
      <c r="D2" s="11">
        <v>1</v>
      </c>
      <c r="E2" s="7">
        <v>4000</v>
      </c>
      <c r="F2" s="7">
        <v>4000</v>
      </c>
      <c r="G2" s="7">
        <f aca="true" t="shared" si="0" ref="G2:G20">F2/28.4</f>
        <v>140.84507042253523</v>
      </c>
    </row>
    <row r="3" spans="1:7" ht="12.75">
      <c r="A3" s="14">
        <v>38624</v>
      </c>
      <c r="B3" s="14" t="s">
        <v>16</v>
      </c>
      <c r="C3" s="10" t="s">
        <v>202</v>
      </c>
      <c r="D3" s="11">
        <v>1004</v>
      </c>
      <c r="E3" s="7">
        <v>20</v>
      </c>
      <c r="F3" s="7">
        <v>20080</v>
      </c>
      <c r="G3" s="7">
        <f t="shared" si="0"/>
        <v>707.0422535211268</v>
      </c>
    </row>
    <row r="4" spans="1:7" ht="12.75">
      <c r="A4" s="14">
        <v>38624</v>
      </c>
      <c r="B4" s="14" t="s">
        <v>16</v>
      </c>
      <c r="C4" s="10" t="s">
        <v>214</v>
      </c>
      <c r="D4" s="11">
        <v>15</v>
      </c>
      <c r="E4" s="7">
        <v>60</v>
      </c>
      <c r="F4" s="7">
        <v>900</v>
      </c>
      <c r="G4" s="7">
        <f t="shared" si="0"/>
        <v>31.690140845070424</v>
      </c>
    </row>
    <row r="5" spans="1:7" ht="12.75">
      <c r="A5" s="14">
        <v>38624</v>
      </c>
      <c r="B5" s="14" t="s">
        <v>16</v>
      </c>
      <c r="C5" s="10" t="s">
        <v>160</v>
      </c>
      <c r="D5" s="11">
        <v>90</v>
      </c>
      <c r="E5" s="7">
        <f>F5/D5</f>
        <v>75</v>
      </c>
      <c r="F5" s="7">
        <v>6750</v>
      </c>
      <c r="G5" s="7">
        <f t="shared" si="0"/>
        <v>237.6760563380282</v>
      </c>
    </row>
    <row r="6" spans="1:7" ht="12.75">
      <c r="A6" s="14">
        <v>38624</v>
      </c>
      <c r="B6" s="14" t="s">
        <v>16</v>
      </c>
      <c r="C6" s="10" t="s">
        <v>23</v>
      </c>
      <c r="D6" s="11">
        <v>1</v>
      </c>
      <c r="E6" s="7">
        <v>170</v>
      </c>
      <c r="F6" s="7">
        <v>170</v>
      </c>
      <c r="G6" s="7">
        <f t="shared" si="0"/>
        <v>5.985915492957747</v>
      </c>
    </row>
    <row r="7" spans="1:7" ht="12.75">
      <c r="A7" s="14">
        <v>38624</v>
      </c>
      <c r="B7" s="14" t="s">
        <v>16</v>
      </c>
      <c r="C7" s="10" t="s">
        <v>18</v>
      </c>
      <c r="D7" s="11">
        <v>1</v>
      </c>
      <c r="E7" s="7">
        <v>750</v>
      </c>
      <c r="F7" s="7">
        <v>750</v>
      </c>
      <c r="G7" s="7">
        <f t="shared" si="0"/>
        <v>26.408450704225352</v>
      </c>
    </row>
    <row r="8" spans="1:7" ht="12.75">
      <c r="A8" s="14">
        <v>38624</v>
      </c>
      <c r="B8" s="14" t="s">
        <v>16</v>
      </c>
      <c r="C8" s="10" t="s">
        <v>204</v>
      </c>
      <c r="D8" s="11">
        <v>5</v>
      </c>
      <c r="E8" s="7">
        <v>35</v>
      </c>
      <c r="F8" s="7">
        <f aca="true" t="shared" si="1" ref="F8:F24">E8*D8</f>
        <v>175</v>
      </c>
      <c r="G8" s="7">
        <f t="shared" si="0"/>
        <v>6.161971830985916</v>
      </c>
    </row>
    <row r="9" spans="1:7" ht="12.75">
      <c r="A9" s="14">
        <v>38624</v>
      </c>
      <c r="B9" s="14" t="s">
        <v>16</v>
      </c>
      <c r="C9" s="10" t="s">
        <v>204</v>
      </c>
      <c r="D9" s="11">
        <v>5</v>
      </c>
      <c r="E9" s="7">
        <v>30</v>
      </c>
      <c r="F9" s="7">
        <f t="shared" si="1"/>
        <v>150</v>
      </c>
      <c r="G9" s="7">
        <f t="shared" si="0"/>
        <v>5.281690140845071</v>
      </c>
    </row>
    <row r="10" spans="1:7" ht="12.75">
      <c r="A10" s="14">
        <v>38624</v>
      </c>
      <c r="B10" s="14" t="s">
        <v>16</v>
      </c>
      <c r="C10" s="10" t="s">
        <v>24</v>
      </c>
      <c r="D10" s="11">
        <v>4</v>
      </c>
      <c r="E10" s="7">
        <v>80</v>
      </c>
      <c r="F10" s="7">
        <f t="shared" si="1"/>
        <v>320</v>
      </c>
      <c r="G10" s="7">
        <f t="shared" si="0"/>
        <v>11.267605633802818</v>
      </c>
    </row>
    <row r="11" spans="1:7" ht="12.75">
      <c r="A11" s="14">
        <v>38624</v>
      </c>
      <c r="B11" s="14" t="s">
        <v>16</v>
      </c>
      <c r="C11" s="10" t="s">
        <v>25</v>
      </c>
      <c r="D11" s="11">
        <v>5</v>
      </c>
      <c r="E11" s="7">
        <v>80</v>
      </c>
      <c r="F11" s="7">
        <f t="shared" si="1"/>
        <v>400</v>
      </c>
      <c r="G11" s="7">
        <f t="shared" si="0"/>
        <v>14.084507042253522</v>
      </c>
    </row>
    <row r="12" spans="1:7" ht="12.75">
      <c r="A12" s="14">
        <v>38624</v>
      </c>
      <c r="B12" s="14" t="s">
        <v>16</v>
      </c>
      <c r="C12" s="10" t="s">
        <v>26</v>
      </c>
      <c r="D12" s="11">
        <v>12</v>
      </c>
      <c r="E12" s="7">
        <v>10</v>
      </c>
      <c r="F12" s="7">
        <f t="shared" si="1"/>
        <v>120</v>
      </c>
      <c r="G12" s="7">
        <f t="shared" si="0"/>
        <v>4.225352112676057</v>
      </c>
    </row>
    <row r="13" spans="1:7" ht="12.75">
      <c r="A13" s="14">
        <v>38624</v>
      </c>
      <c r="B13" s="14" t="s">
        <v>16</v>
      </c>
      <c r="C13" s="10" t="s">
        <v>27</v>
      </c>
      <c r="D13" s="11">
        <v>1</v>
      </c>
      <c r="E13" s="7">
        <v>950</v>
      </c>
      <c r="F13" s="7">
        <f t="shared" si="1"/>
        <v>950</v>
      </c>
      <c r="G13" s="7">
        <f t="shared" si="0"/>
        <v>33.45070422535211</v>
      </c>
    </row>
    <row r="14" spans="1:7" ht="12.75">
      <c r="A14" s="14">
        <v>38624</v>
      </c>
      <c r="B14" s="14" t="s">
        <v>16</v>
      </c>
      <c r="C14" s="10" t="s">
        <v>208</v>
      </c>
      <c r="D14" s="11">
        <v>2</v>
      </c>
      <c r="E14" s="7">
        <v>75</v>
      </c>
      <c r="F14" s="7">
        <f t="shared" si="1"/>
        <v>150</v>
      </c>
      <c r="G14" s="7">
        <f t="shared" si="0"/>
        <v>5.281690140845071</v>
      </c>
    </row>
    <row r="15" spans="1:7" ht="12.75">
      <c r="A15" s="14">
        <v>38624</v>
      </c>
      <c r="B15" s="14" t="s">
        <v>16</v>
      </c>
      <c r="C15" s="10" t="s">
        <v>208</v>
      </c>
      <c r="D15" s="11">
        <v>2</v>
      </c>
      <c r="E15" s="7">
        <v>90</v>
      </c>
      <c r="F15" s="7">
        <f t="shared" si="1"/>
        <v>180</v>
      </c>
      <c r="G15" s="7">
        <f t="shared" si="0"/>
        <v>6.338028169014085</v>
      </c>
    </row>
    <row r="16" spans="1:7" ht="12.75">
      <c r="A16" s="14">
        <v>38624</v>
      </c>
      <c r="B16" s="14" t="s">
        <v>16</v>
      </c>
      <c r="C16" s="10" t="s">
        <v>28</v>
      </c>
      <c r="D16" s="11">
        <v>5</v>
      </c>
      <c r="E16" s="7">
        <v>20</v>
      </c>
      <c r="F16" s="7">
        <f t="shared" si="1"/>
        <v>100</v>
      </c>
      <c r="G16" s="7">
        <f t="shared" si="0"/>
        <v>3.5211267605633805</v>
      </c>
    </row>
    <row r="17" spans="1:7" ht="12.75">
      <c r="A17" s="14">
        <v>38624</v>
      </c>
      <c r="B17" s="14" t="s">
        <v>16</v>
      </c>
      <c r="C17" s="10" t="s">
        <v>29</v>
      </c>
      <c r="D17" s="11">
        <v>2</v>
      </c>
      <c r="E17" s="7">
        <v>50</v>
      </c>
      <c r="F17" s="7">
        <f t="shared" si="1"/>
        <v>100</v>
      </c>
      <c r="G17" s="7">
        <f t="shared" si="0"/>
        <v>3.5211267605633805</v>
      </c>
    </row>
    <row r="18" spans="1:7" ht="12.75">
      <c r="A18" s="14">
        <v>38624</v>
      </c>
      <c r="B18" s="14" t="s">
        <v>16</v>
      </c>
      <c r="C18" s="10" t="s">
        <v>166</v>
      </c>
      <c r="D18" s="11">
        <v>5</v>
      </c>
      <c r="E18" s="7">
        <v>19</v>
      </c>
      <c r="F18" s="7">
        <f t="shared" si="1"/>
        <v>95</v>
      </c>
      <c r="G18" s="7">
        <f t="shared" si="0"/>
        <v>3.3450704225352115</v>
      </c>
    </row>
    <row r="19" spans="1:7" ht="12.75">
      <c r="A19" s="14">
        <v>38624</v>
      </c>
      <c r="B19" s="14" t="s">
        <v>16</v>
      </c>
      <c r="C19" s="10" t="s">
        <v>30</v>
      </c>
      <c r="D19" s="11">
        <v>1</v>
      </c>
      <c r="E19" s="7">
        <v>170</v>
      </c>
      <c r="F19" s="7">
        <f t="shared" si="1"/>
        <v>170</v>
      </c>
      <c r="G19" s="7">
        <f t="shared" si="0"/>
        <v>5.985915492957747</v>
      </c>
    </row>
    <row r="20" spans="1:7" ht="12.75">
      <c r="A20" s="14" t="s">
        <v>39</v>
      </c>
      <c r="B20" s="14" t="s">
        <v>16</v>
      </c>
      <c r="C20" s="10" t="s">
        <v>203</v>
      </c>
      <c r="D20" s="11">
        <v>77</v>
      </c>
      <c r="E20" s="7">
        <v>2250</v>
      </c>
      <c r="F20" s="7">
        <f t="shared" si="1"/>
        <v>173250</v>
      </c>
      <c r="G20" s="7">
        <f t="shared" si="0"/>
        <v>6100.352112676057</v>
      </c>
    </row>
    <row r="21" spans="1:7" ht="12.75">
      <c r="A21" s="14">
        <v>38676</v>
      </c>
      <c r="B21" s="14" t="s">
        <v>44</v>
      </c>
      <c r="C21" s="10" t="s">
        <v>41</v>
      </c>
      <c r="D21" s="11">
        <v>1</v>
      </c>
      <c r="E21" s="7">
        <v>10500</v>
      </c>
      <c r="F21" s="7">
        <f t="shared" si="1"/>
        <v>10500</v>
      </c>
      <c r="G21" s="7">
        <f>F21/28.8</f>
        <v>364.5833333333333</v>
      </c>
    </row>
    <row r="22" spans="1:7" ht="12.75">
      <c r="A22" s="14">
        <v>38679</v>
      </c>
      <c r="B22" s="14" t="s">
        <v>42</v>
      </c>
      <c r="C22" s="17" t="s">
        <v>53</v>
      </c>
      <c r="D22" s="11">
        <v>1</v>
      </c>
      <c r="E22" s="7">
        <f>400+6590+390+200+210</f>
        <v>7790</v>
      </c>
      <c r="F22" s="7">
        <f t="shared" si="1"/>
        <v>7790</v>
      </c>
      <c r="G22" s="7">
        <f>F22/28.85</f>
        <v>270.0173310225303</v>
      </c>
    </row>
    <row r="23" spans="1:7" ht="12.75">
      <c r="A23" s="14">
        <v>38679</v>
      </c>
      <c r="B23" s="14" t="s">
        <v>44</v>
      </c>
      <c r="C23" s="10" t="s">
        <v>43</v>
      </c>
      <c r="D23" s="11">
        <v>7</v>
      </c>
      <c r="E23" s="7">
        <v>150</v>
      </c>
      <c r="F23" s="7">
        <f t="shared" si="1"/>
        <v>1050</v>
      </c>
      <c r="G23" s="7">
        <f>F23/28.85</f>
        <v>36.3951473136915</v>
      </c>
    </row>
    <row r="24" spans="1:7" ht="12.75">
      <c r="A24" s="14">
        <v>38680</v>
      </c>
      <c r="B24" s="14" t="s">
        <v>44</v>
      </c>
      <c r="C24" s="10" t="s">
        <v>46</v>
      </c>
      <c r="D24" s="11">
        <v>12960</v>
      </c>
      <c r="E24" s="7">
        <v>6.95</v>
      </c>
      <c r="F24" s="7">
        <f t="shared" si="1"/>
        <v>90072</v>
      </c>
      <c r="G24" s="7">
        <f>F24/28.84</f>
        <v>3123.1622746185853</v>
      </c>
    </row>
    <row r="25" spans="1:7" ht="12.75">
      <c r="A25" s="14">
        <v>38680</v>
      </c>
      <c r="B25" s="14" t="s">
        <v>44</v>
      </c>
      <c r="C25" s="10" t="s">
        <v>45</v>
      </c>
      <c r="D25" s="11">
        <v>54</v>
      </c>
      <c r="E25" s="7">
        <v>80</v>
      </c>
      <c r="F25" s="7">
        <f aca="true" t="shared" si="2" ref="F25:F36">E25*D25</f>
        <v>4320</v>
      </c>
      <c r="G25" s="7">
        <f>F25/28.84</f>
        <v>149.79195561719834</v>
      </c>
    </row>
    <row r="26" spans="1:7" ht="12.75">
      <c r="A26" s="14">
        <v>38680</v>
      </c>
      <c r="B26" s="14" t="s">
        <v>44</v>
      </c>
      <c r="C26" s="10" t="s">
        <v>206</v>
      </c>
      <c r="D26" s="11">
        <v>9000</v>
      </c>
      <c r="E26" s="7">
        <v>6</v>
      </c>
      <c r="F26" s="7">
        <f t="shared" si="2"/>
        <v>54000</v>
      </c>
      <c r="G26" s="7">
        <f>F26/28.84</f>
        <v>1872.399445214979</v>
      </c>
    </row>
    <row r="27" spans="1:7" ht="12.75">
      <c r="A27" s="14">
        <v>38680</v>
      </c>
      <c r="B27" s="14" t="s">
        <v>44</v>
      </c>
      <c r="C27" s="10" t="s">
        <v>45</v>
      </c>
      <c r="D27" s="11">
        <v>30</v>
      </c>
      <c r="E27" s="7">
        <v>150</v>
      </c>
      <c r="F27" s="7">
        <f t="shared" si="2"/>
        <v>4500</v>
      </c>
      <c r="G27" s="7">
        <f>F27/28.84</f>
        <v>156.03328710124828</v>
      </c>
    </row>
    <row r="28" spans="1:7" ht="12.75">
      <c r="A28" s="14">
        <v>38678</v>
      </c>
      <c r="B28" s="14" t="s">
        <v>44</v>
      </c>
      <c r="C28" s="10" t="s">
        <v>95</v>
      </c>
      <c r="D28" s="11">
        <v>1</v>
      </c>
      <c r="E28" s="7">
        <v>3000</v>
      </c>
      <c r="F28" s="7">
        <f t="shared" si="2"/>
        <v>3000</v>
      </c>
      <c r="G28" s="7">
        <f>F28/28.84</f>
        <v>104.02219140083218</v>
      </c>
    </row>
    <row r="29" spans="1:7" ht="12.75">
      <c r="A29" s="14">
        <v>38679</v>
      </c>
      <c r="B29" s="14" t="s">
        <v>50</v>
      </c>
      <c r="C29" s="10" t="s">
        <v>57</v>
      </c>
      <c r="D29" s="11">
        <v>12</v>
      </c>
      <c r="E29" s="7">
        <v>4060</v>
      </c>
      <c r="F29" s="7">
        <f t="shared" si="2"/>
        <v>48720</v>
      </c>
      <c r="G29" s="7">
        <f>F29/28.87</f>
        <v>1687.5649463110494</v>
      </c>
    </row>
    <row r="30" spans="1:7" ht="12.75">
      <c r="A30" s="14">
        <v>38679</v>
      </c>
      <c r="B30" s="14" t="s">
        <v>50</v>
      </c>
      <c r="C30" s="10" t="s">
        <v>58</v>
      </c>
      <c r="D30" s="11">
        <v>12</v>
      </c>
      <c r="E30" s="7">
        <v>2930</v>
      </c>
      <c r="F30" s="7">
        <f t="shared" si="2"/>
        <v>35160</v>
      </c>
      <c r="G30" s="7">
        <f>F30/28.87</f>
        <v>1217.8732248008312</v>
      </c>
    </row>
    <row r="31" spans="1:7" ht="12.75">
      <c r="A31" s="14">
        <v>38682</v>
      </c>
      <c r="B31" s="14" t="s">
        <v>50</v>
      </c>
      <c r="C31" s="10" t="s">
        <v>62</v>
      </c>
      <c r="D31" s="11">
        <v>2</v>
      </c>
      <c r="E31" s="7">
        <v>2734</v>
      </c>
      <c r="F31" s="7">
        <f t="shared" si="2"/>
        <v>5468</v>
      </c>
      <c r="G31" s="7">
        <f>F31/28.87</f>
        <v>189.40076203671632</v>
      </c>
    </row>
    <row r="32" spans="1:7" ht="12.75">
      <c r="A32" s="14">
        <v>38682</v>
      </c>
      <c r="B32" s="14" t="s">
        <v>50</v>
      </c>
      <c r="C32" s="10" t="s">
        <v>63</v>
      </c>
      <c r="D32" s="11">
        <v>23</v>
      </c>
      <c r="E32" s="7">
        <v>3668</v>
      </c>
      <c r="F32" s="7">
        <f t="shared" si="2"/>
        <v>84364</v>
      </c>
      <c r="G32" s="7">
        <f>F32/28.87</f>
        <v>2922.2029788708</v>
      </c>
    </row>
    <row r="33" spans="1:7" ht="12.75">
      <c r="A33" s="14">
        <v>38682</v>
      </c>
      <c r="B33" s="14" t="s">
        <v>50</v>
      </c>
      <c r="C33" s="10" t="s">
        <v>202</v>
      </c>
      <c r="D33" s="11">
        <v>241</v>
      </c>
      <c r="E33" s="7">
        <v>22</v>
      </c>
      <c r="F33" s="7">
        <f t="shared" si="2"/>
        <v>5302</v>
      </c>
      <c r="G33" s="7">
        <f>F33/28.84</f>
        <v>183.84188626907073</v>
      </c>
    </row>
    <row r="34" spans="1:7" ht="12.75">
      <c r="A34" s="14">
        <v>38682</v>
      </c>
      <c r="B34" s="14" t="s">
        <v>50</v>
      </c>
      <c r="C34" s="10" t="s">
        <v>61</v>
      </c>
      <c r="D34" s="11">
        <v>10</v>
      </c>
      <c r="E34" s="7">
        <v>270</v>
      </c>
      <c r="F34" s="7">
        <f t="shared" si="2"/>
        <v>2700</v>
      </c>
      <c r="G34" s="7">
        <f>F34/28.84</f>
        <v>93.61997226074897</v>
      </c>
    </row>
    <row r="35" spans="1:7" ht="12.75">
      <c r="A35" s="14">
        <v>38682</v>
      </c>
      <c r="B35" s="14" t="s">
        <v>50</v>
      </c>
      <c r="C35" s="10" t="s">
        <v>203</v>
      </c>
      <c r="D35" s="11">
        <v>10</v>
      </c>
      <c r="E35" s="7">
        <v>2500</v>
      </c>
      <c r="F35" s="7">
        <f t="shared" si="2"/>
        <v>25000</v>
      </c>
      <c r="G35" s="7">
        <f>F35/28.87</f>
        <v>865.9508139937651</v>
      </c>
    </row>
    <row r="36" spans="1:7" ht="12.75">
      <c r="A36" s="14">
        <v>38682</v>
      </c>
      <c r="B36" s="14" t="s">
        <v>16</v>
      </c>
      <c r="C36" s="10" t="s">
        <v>23</v>
      </c>
      <c r="D36" s="11">
        <v>5</v>
      </c>
      <c r="E36" s="7">
        <v>200</v>
      </c>
      <c r="F36" s="7">
        <f t="shared" si="2"/>
        <v>1000</v>
      </c>
      <c r="G36" s="7">
        <f>F36/28.85</f>
        <v>34.66204506065858</v>
      </c>
    </row>
    <row r="37" spans="1:7" ht="12.75">
      <c r="A37" s="14">
        <v>38682</v>
      </c>
      <c r="B37" s="14" t="s">
        <v>64</v>
      </c>
      <c r="C37" s="10" t="s">
        <v>65</v>
      </c>
      <c r="D37" s="11">
        <v>1</v>
      </c>
      <c r="E37" s="7">
        <v>7500</v>
      </c>
      <c r="F37" s="7">
        <f aca="true" t="shared" si="3" ref="F37:F104">E37*D37</f>
        <v>7500</v>
      </c>
      <c r="G37" s="7">
        <f aca="true" t="shared" si="4" ref="G37:G45">F37/28.87</f>
        <v>259.78524419812953</v>
      </c>
    </row>
    <row r="38" spans="1:7" ht="12.75">
      <c r="A38" s="14">
        <v>38682</v>
      </c>
      <c r="B38" s="14" t="s">
        <v>64</v>
      </c>
      <c r="C38" s="10" t="s">
        <v>66</v>
      </c>
      <c r="D38" s="11">
        <v>6</v>
      </c>
      <c r="E38" s="7">
        <v>1400</v>
      </c>
      <c r="F38" s="7">
        <f t="shared" si="3"/>
        <v>8400</v>
      </c>
      <c r="G38" s="7">
        <f t="shared" si="4"/>
        <v>290.9594735019051</v>
      </c>
    </row>
    <row r="39" spans="1:7" ht="12.75">
      <c r="A39" s="14" t="s">
        <v>67</v>
      </c>
      <c r="B39" s="14" t="s">
        <v>44</v>
      </c>
      <c r="C39" s="10" t="s">
        <v>210</v>
      </c>
      <c r="D39" s="11">
        <v>4500</v>
      </c>
      <c r="E39" s="7">
        <v>61.2</v>
      </c>
      <c r="F39" s="7">
        <f t="shared" si="3"/>
        <v>275400</v>
      </c>
      <c r="G39" s="7">
        <f t="shared" si="4"/>
        <v>9539.314166955317</v>
      </c>
    </row>
    <row r="40" spans="1:7" ht="12.75">
      <c r="A40" s="14" t="s">
        <v>68</v>
      </c>
      <c r="B40" s="14" t="s">
        <v>44</v>
      </c>
      <c r="C40" s="10" t="s">
        <v>43</v>
      </c>
      <c r="D40" s="11">
        <v>29</v>
      </c>
      <c r="E40" s="7">
        <v>150</v>
      </c>
      <c r="F40" s="7">
        <f t="shared" si="3"/>
        <v>4350</v>
      </c>
      <c r="G40" s="7">
        <f t="shared" si="4"/>
        <v>150.67544163491513</v>
      </c>
    </row>
    <row r="41" spans="1:7" ht="12.75">
      <c r="A41" s="14" t="s">
        <v>68</v>
      </c>
      <c r="B41" s="14" t="s">
        <v>44</v>
      </c>
      <c r="C41" s="10" t="s">
        <v>26</v>
      </c>
      <c r="D41" s="11">
        <v>21</v>
      </c>
      <c r="E41" s="7">
        <v>25</v>
      </c>
      <c r="F41" s="7">
        <f t="shared" si="3"/>
        <v>525</v>
      </c>
      <c r="G41" s="7">
        <f t="shared" si="4"/>
        <v>18.18496709386907</v>
      </c>
    </row>
    <row r="42" spans="1:7" ht="12.75">
      <c r="A42" s="14" t="s">
        <v>68</v>
      </c>
      <c r="B42" s="14" t="s">
        <v>44</v>
      </c>
      <c r="C42" s="10" t="s">
        <v>69</v>
      </c>
      <c r="D42" s="11">
        <v>1</v>
      </c>
      <c r="E42" s="7">
        <v>40</v>
      </c>
      <c r="F42" s="7">
        <f t="shared" si="3"/>
        <v>40</v>
      </c>
      <c r="G42" s="7">
        <f t="shared" si="4"/>
        <v>1.3855213023900241</v>
      </c>
    </row>
    <row r="43" spans="1:7" ht="12.75">
      <c r="A43" s="14" t="s">
        <v>68</v>
      </c>
      <c r="B43" s="14" t="s">
        <v>44</v>
      </c>
      <c r="C43" s="10" t="s">
        <v>70</v>
      </c>
      <c r="D43" s="11">
        <v>100</v>
      </c>
      <c r="E43" s="7">
        <v>10</v>
      </c>
      <c r="F43" s="7">
        <f t="shared" si="3"/>
        <v>1000</v>
      </c>
      <c r="G43" s="7">
        <f t="shared" si="4"/>
        <v>34.638032559750606</v>
      </c>
    </row>
    <row r="44" spans="1:7" ht="12.75">
      <c r="A44" s="14" t="s">
        <v>68</v>
      </c>
      <c r="B44" s="14" t="s">
        <v>44</v>
      </c>
      <c r="C44" s="10" t="s">
        <v>71</v>
      </c>
      <c r="D44" s="11">
        <v>1</v>
      </c>
      <c r="E44" s="7">
        <v>320</v>
      </c>
      <c r="F44" s="7">
        <f t="shared" si="3"/>
        <v>320</v>
      </c>
      <c r="G44" s="7">
        <f t="shared" si="4"/>
        <v>11.084170419120193</v>
      </c>
    </row>
    <row r="45" spans="1:7" ht="12.75">
      <c r="A45" s="14" t="s">
        <v>68</v>
      </c>
      <c r="B45" s="14" t="s">
        <v>44</v>
      </c>
      <c r="C45" s="10" t="s">
        <v>166</v>
      </c>
      <c r="D45" s="11">
        <v>10</v>
      </c>
      <c r="E45" s="7">
        <v>23.5</v>
      </c>
      <c r="F45" s="7">
        <f t="shared" si="3"/>
        <v>235</v>
      </c>
      <c r="G45" s="7">
        <f t="shared" si="4"/>
        <v>8.139937651541393</v>
      </c>
    </row>
    <row r="46" spans="1:7" ht="12.75">
      <c r="A46" s="14">
        <v>38846</v>
      </c>
      <c r="B46" s="14" t="s">
        <v>44</v>
      </c>
      <c r="C46" s="10" t="s">
        <v>166</v>
      </c>
      <c r="D46" s="11">
        <v>4</v>
      </c>
      <c r="E46" s="7">
        <v>40</v>
      </c>
      <c r="F46" s="7">
        <f t="shared" si="3"/>
        <v>160</v>
      </c>
      <c r="G46" s="7">
        <f aca="true" t="shared" si="5" ref="G46:G54">F46/26.7</f>
        <v>5.992509363295881</v>
      </c>
    </row>
    <row r="47" spans="1:7" ht="12.75">
      <c r="A47" s="14">
        <v>38846</v>
      </c>
      <c r="B47" s="14" t="s">
        <v>44</v>
      </c>
      <c r="C47" s="10" t="s">
        <v>166</v>
      </c>
      <c r="D47" s="11">
        <v>1</v>
      </c>
      <c r="E47" s="7">
        <v>900</v>
      </c>
      <c r="F47" s="7">
        <f t="shared" si="3"/>
        <v>900</v>
      </c>
      <c r="G47" s="7">
        <f t="shared" si="5"/>
        <v>33.70786516853933</v>
      </c>
    </row>
    <row r="48" spans="1:7" ht="12.75">
      <c r="A48" s="14">
        <v>38846</v>
      </c>
      <c r="B48" s="14" t="s">
        <v>44</v>
      </c>
      <c r="C48" s="10" t="s">
        <v>75</v>
      </c>
      <c r="D48" s="11">
        <v>4</v>
      </c>
      <c r="E48" s="7">
        <v>80</v>
      </c>
      <c r="F48" s="7">
        <f t="shared" si="3"/>
        <v>320</v>
      </c>
      <c r="G48" s="7">
        <f t="shared" si="5"/>
        <v>11.985018726591761</v>
      </c>
    </row>
    <row r="49" spans="1:7" ht="12.75">
      <c r="A49" s="14">
        <v>38846</v>
      </c>
      <c r="B49" s="14" t="s">
        <v>44</v>
      </c>
      <c r="C49" s="10" t="s">
        <v>26</v>
      </c>
      <c r="D49" s="11">
        <v>24</v>
      </c>
      <c r="E49" s="7">
        <v>10</v>
      </c>
      <c r="F49" s="7">
        <f t="shared" si="3"/>
        <v>240</v>
      </c>
      <c r="G49" s="7">
        <f t="shared" si="5"/>
        <v>8.98876404494382</v>
      </c>
    </row>
    <row r="50" spans="1:7" ht="12.75">
      <c r="A50" s="14">
        <v>38846</v>
      </c>
      <c r="B50" s="14" t="s">
        <v>44</v>
      </c>
      <c r="C50" s="10" t="s">
        <v>76</v>
      </c>
      <c r="D50" s="11">
        <v>1</v>
      </c>
      <c r="E50" s="7">
        <v>1600</v>
      </c>
      <c r="F50" s="7">
        <f t="shared" si="3"/>
        <v>1600</v>
      </c>
      <c r="G50" s="7">
        <f t="shared" si="5"/>
        <v>59.925093632958806</v>
      </c>
    </row>
    <row r="51" spans="1:7" ht="12.75">
      <c r="A51" s="14">
        <v>38846</v>
      </c>
      <c r="B51" s="14" t="s">
        <v>44</v>
      </c>
      <c r="C51" s="10" t="s">
        <v>215</v>
      </c>
      <c r="D51" s="11">
        <v>30</v>
      </c>
      <c r="E51" s="7">
        <v>140</v>
      </c>
      <c r="F51" s="7">
        <f t="shared" si="3"/>
        <v>4200</v>
      </c>
      <c r="G51" s="7">
        <f t="shared" si="5"/>
        <v>157.30337078651687</v>
      </c>
    </row>
    <row r="52" spans="1:7" ht="12.75">
      <c r="A52" s="14">
        <v>38846</v>
      </c>
      <c r="B52" s="14" t="s">
        <v>44</v>
      </c>
      <c r="C52" s="10" t="s">
        <v>29</v>
      </c>
      <c r="D52" s="11">
        <v>1</v>
      </c>
      <c r="E52" s="7">
        <v>30</v>
      </c>
      <c r="F52" s="7">
        <f t="shared" si="3"/>
        <v>30</v>
      </c>
      <c r="G52" s="7">
        <f t="shared" si="5"/>
        <v>1.1235955056179776</v>
      </c>
    </row>
    <row r="53" spans="1:7" ht="12.75">
      <c r="A53" s="14">
        <v>38846</v>
      </c>
      <c r="B53" s="14" t="s">
        <v>44</v>
      </c>
      <c r="C53" s="10" t="s">
        <v>77</v>
      </c>
      <c r="D53" s="11">
        <v>40</v>
      </c>
      <c r="E53" s="7">
        <v>100</v>
      </c>
      <c r="F53" s="7">
        <f t="shared" si="3"/>
        <v>4000</v>
      </c>
      <c r="G53" s="7">
        <f t="shared" si="5"/>
        <v>149.81273408239701</v>
      </c>
    </row>
    <row r="54" spans="1:7" ht="12.75">
      <c r="A54" s="14">
        <v>38846</v>
      </c>
      <c r="B54" s="14" t="s">
        <v>44</v>
      </c>
      <c r="C54" s="10" t="s">
        <v>138</v>
      </c>
      <c r="D54" s="11">
        <v>1</v>
      </c>
      <c r="E54" s="7">
        <v>2500</v>
      </c>
      <c r="F54" s="7">
        <f t="shared" si="3"/>
        <v>2500</v>
      </c>
      <c r="G54" s="7">
        <f t="shared" si="5"/>
        <v>93.63295880149813</v>
      </c>
    </row>
    <row r="55" spans="1:7" ht="12.75">
      <c r="A55" s="14">
        <v>38848</v>
      </c>
      <c r="B55" s="14" t="s">
        <v>44</v>
      </c>
      <c r="C55" s="10" t="s">
        <v>80</v>
      </c>
      <c r="D55" s="11">
        <v>40</v>
      </c>
      <c r="E55" s="7">
        <v>158.75</v>
      </c>
      <c r="F55" s="7">
        <f t="shared" si="3"/>
        <v>6350</v>
      </c>
      <c r="G55" s="7">
        <f aca="true" t="shared" si="6" ref="G55:G61">F55/26.5</f>
        <v>239.62264150943398</v>
      </c>
    </row>
    <row r="56" spans="1:7" ht="12.75">
      <c r="A56" s="14">
        <v>38848</v>
      </c>
      <c r="B56" s="14" t="s">
        <v>44</v>
      </c>
      <c r="C56" s="10" t="s">
        <v>81</v>
      </c>
      <c r="D56" s="11">
        <v>20</v>
      </c>
      <c r="E56" s="7">
        <v>100</v>
      </c>
      <c r="F56" s="7">
        <f t="shared" si="3"/>
        <v>2000</v>
      </c>
      <c r="G56" s="7">
        <f t="shared" si="6"/>
        <v>75.47169811320755</v>
      </c>
    </row>
    <row r="57" spans="1:7" ht="12.75">
      <c r="A57" s="14">
        <v>38848</v>
      </c>
      <c r="B57" s="14" t="s">
        <v>44</v>
      </c>
      <c r="C57" s="10" t="s">
        <v>82</v>
      </c>
      <c r="D57" s="11">
        <v>8</v>
      </c>
      <c r="E57" s="7">
        <v>290</v>
      </c>
      <c r="F57" s="7">
        <f t="shared" si="3"/>
        <v>2320</v>
      </c>
      <c r="G57" s="7">
        <f t="shared" si="6"/>
        <v>87.54716981132076</v>
      </c>
    </row>
    <row r="58" spans="1:7" ht="12.75">
      <c r="A58" s="14">
        <v>38848</v>
      </c>
      <c r="B58" s="14" t="s">
        <v>44</v>
      </c>
      <c r="C58" s="10" t="s">
        <v>202</v>
      </c>
      <c r="D58" s="11">
        <v>24</v>
      </c>
      <c r="E58" s="7">
        <v>22</v>
      </c>
      <c r="F58" s="7">
        <f t="shared" si="3"/>
        <v>528</v>
      </c>
      <c r="G58" s="7">
        <f t="shared" si="6"/>
        <v>19.92452830188679</v>
      </c>
    </row>
    <row r="59" spans="1:7" ht="12.75">
      <c r="A59" s="14">
        <v>38848</v>
      </c>
      <c r="B59" s="14" t="s">
        <v>44</v>
      </c>
      <c r="C59" s="10" t="s">
        <v>138</v>
      </c>
      <c r="D59" s="11">
        <v>1</v>
      </c>
      <c r="E59" s="7">
        <v>2550</v>
      </c>
      <c r="F59" s="7">
        <f t="shared" si="3"/>
        <v>2550</v>
      </c>
      <c r="G59" s="7">
        <f t="shared" si="6"/>
        <v>96.22641509433963</v>
      </c>
    </row>
    <row r="60" spans="1:7" ht="12.75">
      <c r="A60" s="14">
        <v>38849</v>
      </c>
      <c r="B60" s="14" t="s">
        <v>44</v>
      </c>
      <c r="C60" s="10" t="s">
        <v>83</v>
      </c>
      <c r="D60" s="11">
        <v>27</v>
      </c>
      <c r="E60" s="7">
        <v>500</v>
      </c>
      <c r="F60" s="7">
        <f t="shared" si="3"/>
        <v>13500</v>
      </c>
      <c r="G60" s="7">
        <f t="shared" si="6"/>
        <v>509.4339622641509</v>
      </c>
    </row>
    <row r="61" spans="1:7" ht="12.75">
      <c r="A61" s="14">
        <v>38850</v>
      </c>
      <c r="B61" s="14" t="s">
        <v>44</v>
      </c>
      <c r="C61" s="10" t="s">
        <v>84</v>
      </c>
      <c r="D61" s="11">
        <v>19</v>
      </c>
      <c r="E61" s="7">
        <v>650</v>
      </c>
      <c r="F61" s="7">
        <f t="shared" si="3"/>
        <v>12350</v>
      </c>
      <c r="G61" s="7">
        <f t="shared" si="6"/>
        <v>466.0377358490566</v>
      </c>
    </row>
    <row r="62" spans="1:7" ht="12.75">
      <c r="A62" s="14">
        <v>38851</v>
      </c>
      <c r="B62" s="14" t="s">
        <v>44</v>
      </c>
      <c r="C62" s="10" t="s">
        <v>138</v>
      </c>
      <c r="D62" s="11">
        <v>2</v>
      </c>
      <c r="E62" s="7">
        <v>2500</v>
      </c>
      <c r="F62" s="7">
        <f t="shared" si="3"/>
        <v>5000</v>
      </c>
      <c r="G62" s="7">
        <f aca="true" t="shared" si="7" ref="G62:G77">F62/26.63</f>
        <v>187.7581674802854</v>
      </c>
    </row>
    <row r="63" spans="1:7" ht="12.75">
      <c r="A63" s="14">
        <v>38852</v>
      </c>
      <c r="B63" s="14" t="s">
        <v>44</v>
      </c>
      <c r="C63" s="10" t="s">
        <v>26</v>
      </c>
      <c r="D63" s="11">
        <v>20</v>
      </c>
      <c r="E63" s="7">
        <v>20</v>
      </c>
      <c r="F63" s="7">
        <f t="shared" si="3"/>
        <v>400</v>
      </c>
      <c r="G63" s="7">
        <f t="shared" si="7"/>
        <v>15.020653398422832</v>
      </c>
    </row>
    <row r="64" spans="1:7" ht="12.75">
      <c r="A64" s="14">
        <v>38852</v>
      </c>
      <c r="B64" s="14" t="s">
        <v>44</v>
      </c>
      <c r="C64" s="10" t="s">
        <v>86</v>
      </c>
      <c r="D64" s="11">
        <v>1</v>
      </c>
      <c r="E64" s="7">
        <v>180</v>
      </c>
      <c r="F64" s="7">
        <f t="shared" si="3"/>
        <v>180</v>
      </c>
      <c r="G64" s="7">
        <f t="shared" si="7"/>
        <v>6.759294029290275</v>
      </c>
    </row>
    <row r="65" spans="1:7" ht="12.75">
      <c r="A65" s="14">
        <v>38852</v>
      </c>
      <c r="B65" s="14" t="s">
        <v>44</v>
      </c>
      <c r="C65" s="10" t="s">
        <v>87</v>
      </c>
      <c r="D65" s="11">
        <v>1</v>
      </c>
      <c r="E65" s="7">
        <v>430</v>
      </c>
      <c r="F65" s="7">
        <f t="shared" si="3"/>
        <v>430</v>
      </c>
      <c r="G65" s="7">
        <f t="shared" si="7"/>
        <v>16.147202403304544</v>
      </c>
    </row>
    <row r="66" spans="1:7" ht="12.75">
      <c r="A66" s="14">
        <v>38852</v>
      </c>
      <c r="B66" s="14" t="s">
        <v>44</v>
      </c>
      <c r="C66" s="10" t="s">
        <v>88</v>
      </c>
      <c r="D66" s="11">
        <v>1</v>
      </c>
      <c r="E66" s="7">
        <v>320</v>
      </c>
      <c r="F66" s="7">
        <f t="shared" si="3"/>
        <v>320</v>
      </c>
      <c r="G66" s="7">
        <f t="shared" si="7"/>
        <v>12.016522718738265</v>
      </c>
    </row>
    <row r="67" spans="1:7" ht="12.75">
      <c r="A67" s="14">
        <v>38852</v>
      </c>
      <c r="B67" s="14" t="s">
        <v>44</v>
      </c>
      <c r="C67" s="10" t="s">
        <v>89</v>
      </c>
      <c r="D67" s="11">
        <v>2</v>
      </c>
      <c r="E67" s="7">
        <v>10</v>
      </c>
      <c r="F67" s="7">
        <f t="shared" si="3"/>
        <v>20</v>
      </c>
      <c r="G67" s="7">
        <f t="shared" si="7"/>
        <v>0.7510326699211416</v>
      </c>
    </row>
    <row r="68" spans="1:7" ht="12.75">
      <c r="A68" s="14">
        <v>38852</v>
      </c>
      <c r="B68" s="14" t="s">
        <v>44</v>
      </c>
      <c r="C68" s="10" t="s">
        <v>208</v>
      </c>
      <c r="D68" s="11">
        <v>2</v>
      </c>
      <c r="E68" s="7">
        <v>100</v>
      </c>
      <c r="F68" s="7">
        <f t="shared" si="3"/>
        <v>200</v>
      </c>
      <c r="G68" s="7">
        <f t="shared" si="7"/>
        <v>7.510326699211416</v>
      </c>
    </row>
    <row r="69" spans="1:7" ht="12.75">
      <c r="A69" s="14">
        <v>38852</v>
      </c>
      <c r="B69" s="14" t="s">
        <v>44</v>
      </c>
      <c r="C69" s="10" t="s">
        <v>43</v>
      </c>
      <c r="D69" s="11">
        <v>80</v>
      </c>
      <c r="E69" s="7">
        <v>135</v>
      </c>
      <c r="F69" s="7">
        <f t="shared" si="3"/>
        <v>10800</v>
      </c>
      <c r="G69" s="7">
        <f t="shared" si="7"/>
        <v>405.5576417574165</v>
      </c>
    </row>
    <row r="70" spans="1:7" ht="12.75">
      <c r="A70" s="14">
        <v>38853</v>
      </c>
      <c r="B70" s="14" t="s">
        <v>44</v>
      </c>
      <c r="C70" s="10" t="s">
        <v>206</v>
      </c>
      <c r="D70" s="11">
        <v>2500</v>
      </c>
      <c r="E70" s="7">
        <v>6.5</v>
      </c>
      <c r="F70" s="7">
        <f t="shared" si="3"/>
        <v>16250</v>
      </c>
      <c r="G70" s="7">
        <f t="shared" si="7"/>
        <v>610.2140443109275</v>
      </c>
    </row>
    <row r="71" spans="1:7" ht="12.75">
      <c r="A71" s="14">
        <v>38854</v>
      </c>
      <c r="B71" s="14" t="s">
        <v>50</v>
      </c>
      <c r="C71" s="10" t="s">
        <v>91</v>
      </c>
      <c r="D71" s="11">
        <v>8.4</v>
      </c>
      <c r="E71" s="7">
        <v>850</v>
      </c>
      <c r="F71" s="7">
        <f t="shared" si="3"/>
        <v>7140</v>
      </c>
      <c r="G71" s="7">
        <f t="shared" si="7"/>
        <v>268.11866316184756</v>
      </c>
    </row>
    <row r="72" spans="1:7" ht="12.75">
      <c r="A72" s="14">
        <v>38854</v>
      </c>
      <c r="B72" s="14" t="s">
        <v>50</v>
      </c>
      <c r="C72" s="10" t="s">
        <v>202</v>
      </c>
      <c r="D72" s="11">
        <v>240</v>
      </c>
      <c r="E72" s="7">
        <v>22</v>
      </c>
      <c r="F72" s="7">
        <f t="shared" si="3"/>
        <v>5280</v>
      </c>
      <c r="G72" s="7">
        <f t="shared" si="7"/>
        <v>198.27262485918138</v>
      </c>
    </row>
    <row r="73" spans="1:7" ht="12.75">
      <c r="A73" s="14">
        <v>38854</v>
      </c>
      <c r="B73" s="14" t="s">
        <v>50</v>
      </c>
      <c r="C73" s="10" t="s">
        <v>92</v>
      </c>
      <c r="D73" s="11">
        <v>12</v>
      </c>
      <c r="E73" s="7">
        <v>10</v>
      </c>
      <c r="F73" s="7">
        <f t="shared" si="3"/>
        <v>120</v>
      </c>
      <c r="G73" s="7">
        <f t="shared" si="7"/>
        <v>4.50619601952685</v>
      </c>
    </row>
    <row r="74" spans="1:7" ht="12.75">
      <c r="A74" s="14">
        <v>38854</v>
      </c>
      <c r="B74" s="14" t="s">
        <v>44</v>
      </c>
      <c r="C74" s="10" t="s">
        <v>87</v>
      </c>
      <c r="D74" s="11">
        <v>2</v>
      </c>
      <c r="E74" s="7">
        <v>35</v>
      </c>
      <c r="F74" s="7">
        <f t="shared" si="3"/>
        <v>70</v>
      </c>
      <c r="G74" s="7">
        <f t="shared" si="7"/>
        <v>2.628614344723996</v>
      </c>
    </row>
    <row r="75" spans="1:7" ht="12.75">
      <c r="A75" s="14">
        <v>38854</v>
      </c>
      <c r="B75" s="14" t="s">
        <v>44</v>
      </c>
      <c r="C75" s="10" t="s">
        <v>94</v>
      </c>
      <c r="D75" s="11">
        <v>5</v>
      </c>
      <c r="E75" s="7">
        <v>200</v>
      </c>
      <c r="F75" s="7">
        <f t="shared" si="3"/>
        <v>1000</v>
      </c>
      <c r="G75" s="7">
        <f t="shared" si="7"/>
        <v>37.55163349605708</v>
      </c>
    </row>
    <row r="76" spans="1:7" ht="12.75">
      <c r="A76" s="14">
        <v>38856</v>
      </c>
      <c r="B76" s="14" t="s">
        <v>44</v>
      </c>
      <c r="C76" s="10" t="s">
        <v>95</v>
      </c>
      <c r="D76" s="11">
        <v>1</v>
      </c>
      <c r="E76" s="7">
        <v>3500</v>
      </c>
      <c r="F76" s="7">
        <f t="shared" si="3"/>
        <v>3500</v>
      </c>
      <c r="G76" s="7">
        <f t="shared" si="7"/>
        <v>131.43071723619977</v>
      </c>
    </row>
    <row r="77" spans="1:7" ht="12.75">
      <c r="A77" s="14">
        <v>38856</v>
      </c>
      <c r="B77" s="14" t="s">
        <v>50</v>
      </c>
      <c r="C77" s="10" t="s">
        <v>96</v>
      </c>
      <c r="D77" s="11">
        <v>5</v>
      </c>
      <c r="E77" s="7">
        <v>2200</v>
      </c>
      <c r="F77" s="7">
        <f t="shared" si="3"/>
        <v>11000</v>
      </c>
      <c r="G77" s="7">
        <f t="shared" si="7"/>
        <v>413.06796845662785</v>
      </c>
    </row>
    <row r="78" spans="1:7" ht="12.75">
      <c r="A78" s="14">
        <v>38860</v>
      </c>
      <c r="B78" s="14" t="s">
        <v>44</v>
      </c>
      <c r="C78" s="10" t="s">
        <v>98</v>
      </c>
      <c r="D78" s="11">
        <v>2000</v>
      </c>
      <c r="E78" s="7">
        <v>7.5</v>
      </c>
      <c r="F78" s="7">
        <f t="shared" si="3"/>
        <v>15000</v>
      </c>
      <c r="G78" s="7">
        <f>F78/26.4</f>
        <v>568.1818181818182</v>
      </c>
    </row>
    <row r="79" spans="1:7" ht="12.75">
      <c r="A79" s="14">
        <v>38860</v>
      </c>
      <c r="B79" s="14" t="s">
        <v>44</v>
      </c>
      <c r="C79" s="10" t="s">
        <v>99</v>
      </c>
      <c r="D79" s="11">
        <v>7</v>
      </c>
      <c r="E79" s="7">
        <v>100</v>
      </c>
      <c r="F79" s="7">
        <f t="shared" si="3"/>
        <v>700</v>
      </c>
      <c r="G79" s="7">
        <f>F79/26.4</f>
        <v>26.515151515151516</v>
      </c>
    </row>
    <row r="80" spans="1:7" ht="12.75">
      <c r="A80" s="14">
        <v>38866</v>
      </c>
      <c r="B80" s="14" t="s">
        <v>50</v>
      </c>
      <c r="C80" s="10" t="s">
        <v>103</v>
      </c>
      <c r="D80" s="11">
        <v>15</v>
      </c>
      <c r="E80" s="7">
        <v>50</v>
      </c>
      <c r="F80" s="7">
        <f t="shared" si="3"/>
        <v>750</v>
      </c>
      <c r="G80" s="7">
        <f aca="true" t="shared" si="8" ref="G80:G91">F80/26.67</f>
        <v>28.121484814398197</v>
      </c>
    </row>
    <row r="81" spans="1:7" ht="12.75">
      <c r="A81" s="14">
        <v>38866</v>
      </c>
      <c r="B81" s="14" t="s">
        <v>50</v>
      </c>
      <c r="C81" s="10" t="s">
        <v>66</v>
      </c>
      <c r="D81" s="11">
        <v>4</v>
      </c>
      <c r="E81" s="7">
        <v>1450</v>
      </c>
      <c r="F81" s="7">
        <f t="shared" si="3"/>
        <v>5800</v>
      </c>
      <c r="G81" s="7">
        <f t="shared" si="8"/>
        <v>217.47281589801273</v>
      </c>
    </row>
    <row r="82" spans="1:7" ht="12.75">
      <c r="A82" s="14">
        <v>38866</v>
      </c>
      <c r="B82" s="14" t="s">
        <v>50</v>
      </c>
      <c r="C82" s="10" t="s">
        <v>202</v>
      </c>
      <c r="D82" s="11">
        <v>120</v>
      </c>
      <c r="E82" s="7">
        <v>22</v>
      </c>
      <c r="F82" s="7">
        <f t="shared" si="3"/>
        <v>2640</v>
      </c>
      <c r="G82" s="7">
        <f t="shared" si="8"/>
        <v>98.98762654668165</v>
      </c>
    </row>
    <row r="83" spans="1:7" ht="12.75">
      <c r="A83" s="14">
        <v>38866</v>
      </c>
      <c r="B83" s="14" t="s">
        <v>50</v>
      </c>
      <c r="C83" s="10" t="s">
        <v>202</v>
      </c>
      <c r="D83" s="11">
        <v>10</v>
      </c>
      <c r="E83" s="7">
        <v>50</v>
      </c>
      <c r="F83" s="7">
        <f t="shared" si="3"/>
        <v>500</v>
      </c>
      <c r="G83" s="7">
        <f t="shared" si="8"/>
        <v>18.747656542932134</v>
      </c>
    </row>
    <row r="84" spans="1:7" ht="12.75">
      <c r="A84" s="14">
        <v>38866</v>
      </c>
      <c r="B84" s="14" t="s">
        <v>50</v>
      </c>
      <c r="C84" s="10" t="s">
        <v>166</v>
      </c>
      <c r="D84" s="11">
        <v>2</v>
      </c>
      <c r="E84" s="7">
        <v>15</v>
      </c>
      <c r="F84" s="7">
        <f t="shared" si="3"/>
        <v>30</v>
      </c>
      <c r="G84" s="7">
        <f t="shared" si="8"/>
        <v>1.124859392575928</v>
      </c>
    </row>
    <row r="85" spans="1:7" ht="12.75">
      <c r="A85" s="14">
        <v>38866</v>
      </c>
      <c r="B85" s="14" t="s">
        <v>50</v>
      </c>
      <c r="C85" s="10" t="s">
        <v>104</v>
      </c>
      <c r="D85" s="11">
        <v>24</v>
      </c>
      <c r="E85" s="7">
        <v>35</v>
      </c>
      <c r="F85" s="7">
        <f t="shared" si="3"/>
        <v>840</v>
      </c>
      <c r="G85" s="7">
        <f t="shared" si="8"/>
        <v>31.49606299212598</v>
      </c>
    </row>
    <row r="86" spans="1:7" ht="12.75">
      <c r="A86" s="14">
        <v>38866</v>
      </c>
      <c r="B86" s="14" t="s">
        <v>50</v>
      </c>
      <c r="C86" s="10" t="s">
        <v>43</v>
      </c>
      <c r="D86" s="11">
        <v>40</v>
      </c>
      <c r="E86" s="7">
        <v>150</v>
      </c>
      <c r="F86" s="7">
        <f t="shared" si="3"/>
        <v>6000</v>
      </c>
      <c r="G86" s="7">
        <f t="shared" si="8"/>
        <v>224.97187851518558</v>
      </c>
    </row>
    <row r="87" spans="1:7" ht="12.75">
      <c r="A87" s="14">
        <v>38868</v>
      </c>
      <c r="B87" s="14" t="s">
        <v>44</v>
      </c>
      <c r="C87" s="10" t="s">
        <v>43</v>
      </c>
      <c r="D87" s="11">
        <v>60</v>
      </c>
      <c r="E87" s="7">
        <v>140</v>
      </c>
      <c r="F87" s="7">
        <f t="shared" si="3"/>
        <v>8400</v>
      </c>
      <c r="G87" s="7">
        <f t="shared" si="8"/>
        <v>314.9606299212598</v>
      </c>
    </row>
    <row r="88" spans="1:7" ht="12.75">
      <c r="A88" s="14">
        <v>38868</v>
      </c>
      <c r="B88" s="14" t="s">
        <v>44</v>
      </c>
      <c r="C88" s="10" t="s">
        <v>77</v>
      </c>
      <c r="D88" s="11">
        <v>1</v>
      </c>
      <c r="E88" s="7">
        <v>900</v>
      </c>
      <c r="F88" s="7">
        <f t="shared" si="3"/>
        <v>900</v>
      </c>
      <c r="G88" s="7">
        <f t="shared" si="8"/>
        <v>33.74578177727784</v>
      </c>
    </row>
    <row r="89" spans="1:7" ht="12.75">
      <c r="A89" s="14">
        <v>38868</v>
      </c>
      <c r="B89" s="14" t="s">
        <v>44</v>
      </c>
      <c r="C89" s="10" t="s">
        <v>95</v>
      </c>
      <c r="D89" s="11">
        <v>1</v>
      </c>
      <c r="E89" s="7">
        <v>3500</v>
      </c>
      <c r="F89" s="7">
        <f t="shared" si="3"/>
        <v>3500</v>
      </c>
      <c r="G89" s="7">
        <f t="shared" si="8"/>
        <v>131.23359580052494</v>
      </c>
    </row>
    <row r="90" spans="1:7" ht="12.75">
      <c r="A90" s="14">
        <v>38872</v>
      </c>
      <c r="B90" s="14" t="s">
        <v>44</v>
      </c>
      <c r="C90" s="10" t="s">
        <v>77</v>
      </c>
      <c r="D90" s="11">
        <v>2</v>
      </c>
      <c r="E90" s="7">
        <v>900</v>
      </c>
      <c r="F90" s="7">
        <f t="shared" si="3"/>
        <v>1800</v>
      </c>
      <c r="G90" s="7">
        <f t="shared" si="8"/>
        <v>67.49156355455568</v>
      </c>
    </row>
    <row r="91" spans="1:7" ht="12.75">
      <c r="A91" s="14">
        <v>38875</v>
      </c>
      <c r="B91" s="14" t="s">
        <v>44</v>
      </c>
      <c r="C91" s="10" t="s">
        <v>43</v>
      </c>
      <c r="D91" s="11">
        <v>5</v>
      </c>
      <c r="E91" s="7">
        <v>145</v>
      </c>
      <c r="F91" s="7">
        <f t="shared" si="3"/>
        <v>725</v>
      </c>
      <c r="G91" s="7">
        <f t="shared" si="8"/>
        <v>27.18410198725159</v>
      </c>
    </row>
    <row r="92" spans="1:7" ht="12.75">
      <c r="A92" s="14">
        <v>38892</v>
      </c>
      <c r="B92" s="14" t="s">
        <v>44</v>
      </c>
      <c r="C92" s="10" t="s">
        <v>77</v>
      </c>
      <c r="D92" s="11">
        <v>50</v>
      </c>
      <c r="E92" s="7">
        <v>100</v>
      </c>
      <c r="F92" s="7">
        <f t="shared" si="3"/>
        <v>5000</v>
      </c>
      <c r="G92" s="7">
        <f aca="true" t="shared" si="9" ref="G92:G123">F92/27</f>
        <v>185.1851851851852</v>
      </c>
    </row>
    <row r="93" spans="1:7" ht="12.75">
      <c r="A93" s="14">
        <v>38892</v>
      </c>
      <c r="B93" s="14" t="s">
        <v>44</v>
      </c>
      <c r="C93" s="10" t="s">
        <v>26</v>
      </c>
      <c r="D93" s="11">
        <v>20</v>
      </c>
      <c r="E93" s="7">
        <v>15</v>
      </c>
      <c r="F93" s="7">
        <f t="shared" si="3"/>
        <v>300</v>
      </c>
      <c r="G93" s="7">
        <f t="shared" si="9"/>
        <v>11.11111111111111</v>
      </c>
    </row>
    <row r="94" spans="1:7" ht="12.75">
      <c r="A94" s="14">
        <v>38892</v>
      </c>
      <c r="B94" s="14" t="s">
        <v>44</v>
      </c>
      <c r="C94" s="10" t="s">
        <v>113</v>
      </c>
      <c r="D94" s="11">
        <v>1</v>
      </c>
      <c r="E94" s="7">
        <v>120</v>
      </c>
      <c r="F94" s="7">
        <f t="shared" si="3"/>
        <v>120</v>
      </c>
      <c r="G94" s="7">
        <f t="shared" si="9"/>
        <v>4.444444444444445</v>
      </c>
    </row>
    <row r="95" spans="1:7" ht="12.75">
      <c r="A95" s="14">
        <v>38892</v>
      </c>
      <c r="B95" s="14" t="s">
        <v>44</v>
      </c>
      <c r="C95" s="10" t="s">
        <v>87</v>
      </c>
      <c r="D95" s="11">
        <v>1</v>
      </c>
      <c r="E95" s="7">
        <v>150</v>
      </c>
      <c r="F95" s="7">
        <f t="shared" si="3"/>
        <v>150</v>
      </c>
      <c r="G95" s="7">
        <f t="shared" si="9"/>
        <v>5.555555555555555</v>
      </c>
    </row>
    <row r="96" spans="1:7" ht="12.75">
      <c r="A96" s="14">
        <v>38892</v>
      </c>
      <c r="B96" s="14" t="s">
        <v>44</v>
      </c>
      <c r="C96" s="10" t="s">
        <v>166</v>
      </c>
      <c r="D96" s="11">
        <v>1</v>
      </c>
      <c r="E96" s="7">
        <v>160</v>
      </c>
      <c r="F96" s="7">
        <f t="shared" si="3"/>
        <v>160</v>
      </c>
      <c r="G96" s="7">
        <f t="shared" si="9"/>
        <v>5.925925925925926</v>
      </c>
    </row>
    <row r="97" spans="1:7" ht="12.75">
      <c r="A97" s="14">
        <v>38892</v>
      </c>
      <c r="B97" s="14" t="s">
        <v>44</v>
      </c>
      <c r="C97" s="10" t="s">
        <v>114</v>
      </c>
      <c r="D97" s="11">
        <v>1</v>
      </c>
      <c r="E97" s="7">
        <v>120</v>
      </c>
      <c r="F97" s="7">
        <f t="shared" si="3"/>
        <v>120</v>
      </c>
      <c r="G97" s="7">
        <f t="shared" si="9"/>
        <v>4.444444444444445</v>
      </c>
    </row>
    <row r="98" spans="1:7" ht="12.75">
      <c r="A98" s="14">
        <v>38892</v>
      </c>
      <c r="B98" s="14" t="s">
        <v>44</v>
      </c>
      <c r="C98" s="10" t="s">
        <v>182</v>
      </c>
      <c r="D98" s="11">
        <v>32.4</v>
      </c>
      <c r="E98" s="7">
        <v>160</v>
      </c>
      <c r="F98" s="7">
        <f t="shared" si="3"/>
        <v>5184</v>
      </c>
      <c r="G98" s="7">
        <f t="shared" si="9"/>
        <v>192</v>
      </c>
    </row>
    <row r="99" spans="1:7" ht="12.75">
      <c r="A99" s="14">
        <v>38892</v>
      </c>
      <c r="B99" s="14" t="s">
        <v>44</v>
      </c>
      <c r="C99" s="10" t="s">
        <v>115</v>
      </c>
      <c r="D99" s="11">
        <v>27</v>
      </c>
      <c r="E99" s="7">
        <v>10</v>
      </c>
      <c r="F99" s="7">
        <f t="shared" si="3"/>
        <v>270</v>
      </c>
      <c r="G99" s="7">
        <f t="shared" si="9"/>
        <v>10</v>
      </c>
    </row>
    <row r="100" spans="1:7" ht="12.75">
      <c r="A100" s="14">
        <v>38892</v>
      </c>
      <c r="B100" s="14" t="s">
        <v>44</v>
      </c>
      <c r="C100" s="10" t="s">
        <v>43</v>
      </c>
      <c r="D100" s="11">
        <v>80</v>
      </c>
      <c r="E100" s="7">
        <v>145</v>
      </c>
      <c r="F100" s="7">
        <f t="shared" si="3"/>
        <v>11600</v>
      </c>
      <c r="G100" s="7">
        <f t="shared" si="9"/>
        <v>429.6296296296296</v>
      </c>
    </row>
    <row r="101" spans="1:7" ht="12.75">
      <c r="A101" s="14">
        <v>38892</v>
      </c>
      <c r="B101" s="14" t="s">
        <v>44</v>
      </c>
      <c r="C101" s="10" t="s">
        <v>116</v>
      </c>
      <c r="D101" s="11">
        <v>1</v>
      </c>
      <c r="E101" s="7">
        <v>780</v>
      </c>
      <c r="F101" s="7">
        <f t="shared" si="3"/>
        <v>780</v>
      </c>
      <c r="G101" s="7">
        <f t="shared" si="9"/>
        <v>28.88888888888889</v>
      </c>
    </row>
    <row r="102" spans="1:7" ht="12.75">
      <c r="A102" s="14">
        <v>38892</v>
      </c>
      <c r="B102" s="14" t="s">
        <v>44</v>
      </c>
      <c r="C102" s="10" t="s">
        <v>75</v>
      </c>
      <c r="D102" s="11">
        <v>4</v>
      </c>
      <c r="E102" s="7">
        <v>60</v>
      </c>
      <c r="F102" s="7">
        <f t="shared" si="3"/>
        <v>240</v>
      </c>
      <c r="G102" s="7">
        <f t="shared" si="9"/>
        <v>8.88888888888889</v>
      </c>
    </row>
    <row r="103" spans="1:7" ht="12.75">
      <c r="A103" s="14">
        <v>38894</v>
      </c>
      <c r="B103" s="14" t="s">
        <v>44</v>
      </c>
      <c r="C103" s="10" t="s">
        <v>138</v>
      </c>
      <c r="D103" s="11">
        <v>1</v>
      </c>
      <c r="E103" s="7">
        <v>3000</v>
      </c>
      <c r="F103" s="7">
        <f t="shared" si="3"/>
        <v>3000</v>
      </c>
      <c r="G103" s="7">
        <f t="shared" si="9"/>
        <v>111.11111111111111</v>
      </c>
    </row>
    <row r="104" spans="1:7" ht="12.75">
      <c r="A104" s="14">
        <v>38897</v>
      </c>
      <c r="B104" s="14" t="s">
        <v>44</v>
      </c>
      <c r="C104" s="10" t="s">
        <v>73</v>
      </c>
      <c r="D104" s="11">
        <v>1</v>
      </c>
      <c r="E104" s="7">
        <v>1000</v>
      </c>
      <c r="F104" s="7">
        <f t="shared" si="3"/>
        <v>1000</v>
      </c>
      <c r="G104" s="7">
        <f t="shared" si="9"/>
        <v>37.03703703703704</v>
      </c>
    </row>
    <row r="105" spans="1:7" ht="12.75">
      <c r="A105" s="14">
        <v>38897</v>
      </c>
      <c r="B105" s="14" t="s">
        <v>44</v>
      </c>
      <c r="C105" s="10" t="s">
        <v>120</v>
      </c>
      <c r="D105" s="11">
        <v>1500</v>
      </c>
      <c r="E105" s="7">
        <v>6.5</v>
      </c>
      <c r="F105" s="7">
        <f aca="true" t="shared" si="10" ref="F105:F141">E105*D105</f>
        <v>9750</v>
      </c>
      <c r="G105" s="7">
        <f t="shared" si="9"/>
        <v>361.1111111111111</v>
      </c>
    </row>
    <row r="106" spans="1:7" ht="12.75">
      <c r="A106" s="14">
        <v>38897</v>
      </c>
      <c r="B106" s="14" t="s">
        <v>44</v>
      </c>
      <c r="C106" s="10" t="s">
        <v>95</v>
      </c>
      <c r="D106" s="11">
        <v>1</v>
      </c>
      <c r="E106" s="7">
        <v>3000</v>
      </c>
      <c r="F106" s="7">
        <f t="shared" si="10"/>
        <v>3000</v>
      </c>
      <c r="G106" s="7">
        <f t="shared" si="9"/>
        <v>111.11111111111111</v>
      </c>
    </row>
    <row r="107" spans="1:7" ht="12.75">
      <c r="A107" s="14">
        <v>38898</v>
      </c>
      <c r="B107" s="14" t="s">
        <v>44</v>
      </c>
      <c r="C107" s="10" t="s">
        <v>43</v>
      </c>
      <c r="D107" s="11">
        <v>40</v>
      </c>
      <c r="E107" s="7">
        <v>150</v>
      </c>
      <c r="F107" s="7">
        <f t="shared" si="10"/>
        <v>6000</v>
      </c>
      <c r="G107" s="7">
        <f t="shared" si="9"/>
        <v>222.22222222222223</v>
      </c>
    </row>
    <row r="108" spans="1:7" ht="12.75">
      <c r="A108" s="14">
        <v>38900</v>
      </c>
      <c r="B108" s="14" t="s">
        <v>44</v>
      </c>
      <c r="C108" s="10" t="s">
        <v>43</v>
      </c>
      <c r="D108" s="11">
        <v>8</v>
      </c>
      <c r="E108" s="7">
        <v>145</v>
      </c>
      <c r="F108" s="7">
        <f t="shared" si="10"/>
        <v>1160</v>
      </c>
      <c r="G108" s="7">
        <f t="shared" si="9"/>
        <v>42.96296296296296</v>
      </c>
    </row>
    <row r="109" spans="1:7" ht="12.75">
      <c r="A109" s="14">
        <v>38901</v>
      </c>
      <c r="B109" s="14" t="s">
        <v>44</v>
      </c>
      <c r="C109" s="10" t="s">
        <v>26</v>
      </c>
      <c r="D109" s="11">
        <v>24</v>
      </c>
      <c r="E109" s="7">
        <v>10</v>
      </c>
      <c r="F109" s="7">
        <f t="shared" si="10"/>
        <v>240</v>
      </c>
      <c r="G109" s="7">
        <f t="shared" si="9"/>
        <v>8.88888888888889</v>
      </c>
    </row>
    <row r="110" spans="1:7" ht="12.75">
      <c r="A110" s="14">
        <v>38901</v>
      </c>
      <c r="B110" s="14" t="s">
        <v>44</v>
      </c>
      <c r="C110" s="10" t="s">
        <v>205</v>
      </c>
      <c r="D110" s="11">
        <v>1</v>
      </c>
      <c r="E110" s="7">
        <v>130</v>
      </c>
      <c r="F110" s="7">
        <f t="shared" si="10"/>
        <v>130</v>
      </c>
      <c r="G110" s="7">
        <f t="shared" si="9"/>
        <v>4.814814814814815</v>
      </c>
    </row>
    <row r="111" spans="1:7" ht="12.75">
      <c r="A111" s="14">
        <v>38901</v>
      </c>
      <c r="B111" s="14" t="s">
        <v>44</v>
      </c>
      <c r="C111" s="10" t="s">
        <v>205</v>
      </c>
      <c r="D111" s="11">
        <v>5</v>
      </c>
      <c r="E111" s="7">
        <v>200</v>
      </c>
      <c r="F111" s="7">
        <f t="shared" si="10"/>
        <v>1000</v>
      </c>
      <c r="G111" s="7">
        <f t="shared" si="9"/>
        <v>37.03703703703704</v>
      </c>
    </row>
    <row r="112" spans="1:7" ht="12.75">
      <c r="A112" s="14">
        <v>38902</v>
      </c>
      <c r="B112" s="14" t="s">
        <v>44</v>
      </c>
      <c r="C112" s="10" t="s">
        <v>203</v>
      </c>
      <c r="D112" s="11">
        <v>2</v>
      </c>
      <c r="E112" s="7">
        <v>2657.5</v>
      </c>
      <c r="F112" s="7">
        <f t="shared" si="10"/>
        <v>5315</v>
      </c>
      <c r="G112" s="7">
        <f t="shared" si="9"/>
        <v>196.85185185185185</v>
      </c>
    </row>
    <row r="113" spans="1:7" ht="12.75">
      <c r="A113" s="14">
        <v>38902</v>
      </c>
      <c r="B113" s="14" t="s">
        <v>44</v>
      </c>
      <c r="C113" s="10" t="s">
        <v>119</v>
      </c>
      <c r="D113" s="11">
        <v>180</v>
      </c>
      <c r="E113" s="7">
        <v>19</v>
      </c>
      <c r="F113" s="7">
        <f t="shared" si="10"/>
        <v>3420</v>
      </c>
      <c r="G113" s="7">
        <f t="shared" si="9"/>
        <v>126.66666666666667</v>
      </c>
    </row>
    <row r="114" spans="1:7" ht="12.75">
      <c r="A114" s="14">
        <v>38903</v>
      </c>
      <c r="B114" s="14" t="s">
        <v>44</v>
      </c>
      <c r="C114" s="10" t="s">
        <v>73</v>
      </c>
      <c r="D114" s="11">
        <v>1</v>
      </c>
      <c r="E114" s="7">
        <v>11000</v>
      </c>
      <c r="F114" s="7">
        <f t="shared" si="10"/>
        <v>11000</v>
      </c>
      <c r="G114" s="7">
        <f t="shared" si="9"/>
        <v>407.4074074074074</v>
      </c>
    </row>
    <row r="115" spans="1:7" ht="12.75">
      <c r="A115" s="14">
        <v>38904</v>
      </c>
      <c r="B115" s="14" t="s">
        <v>44</v>
      </c>
      <c r="C115" s="10" t="s">
        <v>95</v>
      </c>
      <c r="D115" s="11">
        <v>1</v>
      </c>
      <c r="E115" s="7">
        <v>3500</v>
      </c>
      <c r="F115" s="7">
        <f t="shared" si="10"/>
        <v>3500</v>
      </c>
      <c r="G115" s="7">
        <f t="shared" si="9"/>
        <v>129.62962962962962</v>
      </c>
    </row>
    <row r="116" spans="1:7" ht="12.75">
      <c r="A116" s="14">
        <v>38911</v>
      </c>
      <c r="B116" s="14" t="s">
        <v>44</v>
      </c>
      <c r="C116" s="10" t="s">
        <v>43</v>
      </c>
      <c r="D116" s="11">
        <v>8</v>
      </c>
      <c r="E116" s="7">
        <v>160</v>
      </c>
      <c r="F116" s="7">
        <f t="shared" si="10"/>
        <v>1280</v>
      </c>
      <c r="G116" s="7">
        <f t="shared" si="9"/>
        <v>47.407407407407405</v>
      </c>
    </row>
    <row r="117" spans="1:7" ht="12.75">
      <c r="A117" s="14">
        <v>38912</v>
      </c>
      <c r="B117" s="14" t="s">
        <v>44</v>
      </c>
      <c r="C117" s="10" t="s">
        <v>214</v>
      </c>
      <c r="D117" s="11">
        <v>10</v>
      </c>
      <c r="E117" s="7">
        <v>45</v>
      </c>
      <c r="F117" s="7">
        <f t="shared" si="10"/>
        <v>450</v>
      </c>
      <c r="G117" s="7">
        <f t="shared" si="9"/>
        <v>16.666666666666668</v>
      </c>
    </row>
    <row r="118" spans="1:7" ht="12.75">
      <c r="A118" s="14">
        <v>38913</v>
      </c>
      <c r="B118" s="14" t="s">
        <v>44</v>
      </c>
      <c r="C118" s="10" t="s">
        <v>73</v>
      </c>
      <c r="D118" s="11">
        <v>1</v>
      </c>
      <c r="E118" s="7">
        <v>6000</v>
      </c>
      <c r="F118" s="7">
        <f t="shared" si="10"/>
        <v>6000</v>
      </c>
      <c r="G118" s="7">
        <f t="shared" si="9"/>
        <v>222.22222222222223</v>
      </c>
    </row>
    <row r="119" spans="1:7" ht="12.75">
      <c r="A119" s="14">
        <v>38916</v>
      </c>
      <c r="B119" s="14" t="s">
        <v>44</v>
      </c>
      <c r="C119" s="10" t="s">
        <v>43</v>
      </c>
      <c r="D119" s="11">
        <v>60</v>
      </c>
      <c r="E119" s="7">
        <v>160</v>
      </c>
      <c r="F119" s="7">
        <f t="shared" si="10"/>
        <v>9600</v>
      </c>
      <c r="G119" s="7">
        <f t="shared" si="9"/>
        <v>355.55555555555554</v>
      </c>
    </row>
    <row r="120" spans="1:7" ht="12.75">
      <c r="A120" s="14">
        <v>38916</v>
      </c>
      <c r="B120" s="14" t="s">
        <v>44</v>
      </c>
      <c r="C120" s="10" t="s">
        <v>26</v>
      </c>
      <c r="D120" s="11">
        <v>20</v>
      </c>
      <c r="E120" s="7">
        <v>15</v>
      </c>
      <c r="F120" s="7">
        <f t="shared" si="10"/>
        <v>300</v>
      </c>
      <c r="G120" s="7">
        <f t="shared" si="9"/>
        <v>11.11111111111111</v>
      </c>
    </row>
    <row r="121" spans="1:7" ht="12.75">
      <c r="A121" s="14">
        <v>38917</v>
      </c>
      <c r="B121" s="14" t="s">
        <v>44</v>
      </c>
      <c r="C121" s="10" t="s">
        <v>95</v>
      </c>
      <c r="D121" s="11">
        <v>1</v>
      </c>
      <c r="E121" s="7">
        <v>2500</v>
      </c>
      <c r="F121" s="7">
        <f t="shared" si="10"/>
        <v>2500</v>
      </c>
      <c r="G121" s="7">
        <f t="shared" si="9"/>
        <v>92.5925925925926</v>
      </c>
    </row>
    <row r="122" spans="1:7" ht="12.75">
      <c r="A122" s="14">
        <v>38917</v>
      </c>
      <c r="B122" s="14" t="s">
        <v>44</v>
      </c>
      <c r="C122" s="10" t="s">
        <v>120</v>
      </c>
      <c r="D122" s="11">
        <v>1600</v>
      </c>
      <c r="E122" s="7">
        <v>6.8</v>
      </c>
      <c r="F122" s="7">
        <f t="shared" si="10"/>
        <v>10880</v>
      </c>
      <c r="G122" s="7">
        <f t="shared" si="9"/>
        <v>402.962962962963</v>
      </c>
    </row>
    <row r="123" spans="1:7" ht="12.75">
      <c r="A123" s="14">
        <v>38918</v>
      </c>
      <c r="B123" s="14" t="s">
        <v>44</v>
      </c>
      <c r="C123" s="10" t="s">
        <v>120</v>
      </c>
      <c r="D123" s="11">
        <v>1080</v>
      </c>
      <c r="E123" s="7">
        <v>8.2</v>
      </c>
      <c r="F123" s="7">
        <f t="shared" si="10"/>
        <v>8856</v>
      </c>
      <c r="G123" s="7">
        <f t="shared" si="9"/>
        <v>328</v>
      </c>
    </row>
    <row r="124" spans="1:7" ht="12.75">
      <c r="A124" s="14">
        <v>38918</v>
      </c>
      <c r="B124" s="14" t="s">
        <v>44</v>
      </c>
      <c r="C124" s="10" t="s">
        <v>73</v>
      </c>
      <c r="D124" s="11">
        <v>1</v>
      </c>
      <c r="E124" s="7">
        <v>3500</v>
      </c>
      <c r="F124" s="7">
        <f t="shared" si="10"/>
        <v>3500</v>
      </c>
      <c r="G124" s="7">
        <f aca="true" t="shared" si="11" ref="G124:G155">F124/27</f>
        <v>129.62962962962962</v>
      </c>
    </row>
    <row r="125" spans="1:7" ht="12.75">
      <c r="A125" s="14">
        <v>38918</v>
      </c>
      <c r="B125" s="14" t="s">
        <v>44</v>
      </c>
      <c r="C125" s="10" t="s">
        <v>121</v>
      </c>
      <c r="D125" s="11">
        <v>1</v>
      </c>
      <c r="E125" s="7">
        <v>13792</v>
      </c>
      <c r="F125" s="7">
        <f t="shared" si="10"/>
        <v>13792</v>
      </c>
      <c r="G125" s="7">
        <f t="shared" si="11"/>
        <v>510.81481481481484</v>
      </c>
    </row>
    <row r="126" spans="1:7" ht="12.75">
      <c r="A126" s="14">
        <v>38919</v>
      </c>
      <c r="B126" s="14" t="s">
        <v>44</v>
      </c>
      <c r="C126" s="10" t="s">
        <v>43</v>
      </c>
      <c r="D126" s="11">
        <v>8</v>
      </c>
      <c r="E126" s="7">
        <v>170</v>
      </c>
      <c r="F126" s="7">
        <f t="shared" si="10"/>
        <v>1360</v>
      </c>
      <c r="G126" s="7">
        <f t="shared" si="11"/>
        <v>50.370370370370374</v>
      </c>
    </row>
    <row r="127" spans="1:7" ht="12.75">
      <c r="A127" s="14">
        <v>38921</v>
      </c>
      <c r="B127" s="14" t="s">
        <v>44</v>
      </c>
      <c r="C127" s="10" t="s">
        <v>118</v>
      </c>
      <c r="D127" s="11">
        <v>1</v>
      </c>
      <c r="E127" s="7">
        <v>200</v>
      </c>
      <c r="F127" s="7">
        <f t="shared" si="10"/>
        <v>200</v>
      </c>
      <c r="G127" s="7">
        <f t="shared" si="11"/>
        <v>7.407407407407407</v>
      </c>
    </row>
    <row r="128" spans="1:7" ht="12.75">
      <c r="A128" s="14">
        <v>38921</v>
      </c>
      <c r="B128" s="14" t="s">
        <v>44</v>
      </c>
      <c r="C128" s="10" t="s">
        <v>43</v>
      </c>
      <c r="D128" s="11">
        <v>5</v>
      </c>
      <c r="E128" s="7">
        <v>185</v>
      </c>
      <c r="F128" s="7">
        <f t="shared" si="10"/>
        <v>925</v>
      </c>
      <c r="G128" s="7">
        <f t="shared" si="11"/>
        <v>34.25925925925926</v>
      </c>
    </row>
    <row r="129" spans="1:7" ht="12.75">
      <c r="A129" s="14">
        <v>38922</v>
      </c>
      <c r="B129" s="14" t="s">
        <v>44</v>
      </c>
      <c r="C129" s="10" t="s">
        <v>43</v>
      </c>
      <c r="D129" s="11">
        <v>8</v>
      </c>
      <c r="E129" s="7">
        <v>185</v>
      </c>
      <c r="F129" s="7">
        <f t="shared" si="10"/>
        <v>1480</v>
      </c>
      <c r="G129" s="7">
        <f t="shared" si="11"/>
        <v>54.81481481481482</v>
      </c>
    </row>
    <row r="130" spans="1:7" ht="12.75">
      <c r="A130" s="14">
        <v>38922</v>
      </c>
      <c r="B130" s="14" t="s">
        <v>44</v>
      </c>
      <c r="C130" s="10" t="s">
        <v>205</v>
      </c>
      <c r="D130" s="11">
        <v>1</v>
      </c>
      <c r="E130" s="7">
        <v>140</v>
      </c>
      <c r="F130" s="7">
        <f t="shared" si="10"/>
        <v>140</v>
      </c>
      <c r="G130" s="7">
        <f t="shared" si="11"/>
        <v>5.185185185185185</v>
      </c>
    </row>
    <row r="131" spans="1:7" ht="12.75">
      <c r="A131" s="14">
        <v>38922</v>
      </c>
      <c r="B131" s="14" t="s">
        <v>44</v>
      </c>
      <c r="C131" s="10" t="s">
        <v>26</v>
      </c>
      <c r="D131" s="11">
        <v>10</v>
      </c>
      <c r="E131" s="7">
        <v>10</v>
      </c>
      <c r="F131" s="7">
        <f t="shared" si="10"/>
        <v>100</v>
      </c>
      <c r="G131" s="7">
        <f t="shared" si="11"/>
        <v>3.7037037037037037</v>
      </c>
    </row>
    <row r="132" spans="1:7" ht="12.75">
      <c r="A132" s="14">
        <v>38922</v>
      </c>
      <c r="B132" s="14" t="s">
        <v>44</v>
      </c>
      <c r="C132" s="10" t="s">
        <v>43</v>
      </c>
      <c r="D132" s="11">
        <v>5</v>
      </c>
      <c r="E132" s="7">
        <v>190</v>
      </c>
      <c r="F132" s="7">
        <f t="shared" si="10"/>
        <v>950</v>
      </c>
      <c r="G132" s="7">
        <f t="shared" si="11"/>
        <v>35.18518518518518</v>
      </c>
    </row>
    <row r="133" spans="1:7" ht="12.75">
      <c r="A133" s="14">
        <v>38937</v>
      </c>
      <c r="B133" s="14" t="s">
        <v>122</v>
      </c>
      <c r="C133" s="10" t="s">
        <v>123</v>
      </c>
      <c r="D133" s="11">
        <v>5</v>
      </c>
      <c r="E133" s="7">
        <v>3500</v>
      </c>
      <c r="F133" s="7">
        <f t="shared" si="10"/>
        <v>17500</v>
      </c>
      <c r="G133" s="7">
        <f t="shared" si="11"/>
        <v>648.1481481481482</v>
      </c>
    </row>
    <row r="134" spans="1:7" ht="12.75">
      <c r="A134" s="14">
        <v>38937</v>
      </c>
      <c r="B134" s="14" t="s">
        <v>122</v>
      </c>
      <c r="C134" s="10" t="s">
        <v>137</v>
      </c>
      <c r="D134" s="11">
        <v>1</v>
      </c>
      <c r="E134" s="7">
        <v>4000</v>
      </c>
      <c r="F134" s="7">
        <f t="shared" si="10"/>
        <v>4000</v>
      </c>
      <c r="G134" s="7">
        <f t="shared" si="11"/>
        <v>148.14814814814815</v>
      </c>
    </row>
    <row r="135" spans="1:7" ht="12.75">
      <c r="A135" s="14">
        <v>38937</v>
      </c>
      <c r="B135" s="14" t="s">
        <v>122</v>
      </c>
      <c r="C135" s="10" t="s">
        <v>138</v>
      </c>
      <c r="D135" s="11">
        <v>1</v>
      </c>
      <c r="E135" s="7">
        <v>4000</v>
      </c>
      <c r="F135" s="7">
        <f t="shared" si="10"/>
        <v>4000</v>
      </c>
      <c r="G135" s="7">
        <f t="shared" si="11"/>
        <v>148.14814814814815</v>
      </c>
    </row>
    <row r="136" spans="1:7" ht="12.75">
      <c r="A136" s="14">
        <v>38939</v>
      </c>
      <c r="B136" s="14" t="s">
        <v>44</v>
      </c>
      <c r="C136" s="10" t="s">
        <v>207</v>
      </c>
      <c r="D136" s="11">
        <v>1000</v>
      </c>
      <c r="E136" s="7">
        <v>11</v>
      </c>
      <c r="F136" s="7">
        <f t="shared" si="10"/>
        <v>11000</v>
      </c>
      <c r="G136" s="7">
        <f t="shared" si="11"/>
        <v>407.4074074074074</v>
      </c>
    </row>
    <row r="137" spans="1:7" ht="12.75">
      <c r="A137" s="14">
        <v>38939</v>
      </c>
      <c r="B137" s="14" t="s">
        <v>44</v>
      </c>
      <c r="C137" s="10" t="s">
        <v>210</v>
      </c>
      <c r="D137" s="11">
        <v>100</v>
      </c>
      <c r="E137" s="7">
        <v>95</v>
      </c>
      <c r="F137" s="7">
        <f t="shared" si="10"/>
        <v>9500</v>
      </c>
      <c r="G137" s="7">
        <f t="shared" si="11"/>
        <v>351.85185185185185</v>
      </c>
    </row>
    <row r="138" spans="1:7" ht="12.75">
      <c r="A138" s="14">
        <v>38939</v>
      </c>
      <c r="B138" s="14" t="s">
        <v>122</v>
      </c>
      <c r="C138" s="10" t="s">
        <v>26</v>
      </c>
      <c r="D138" s="11">
        <v>7</v>
      </c>
      <c r="E138" s="7">
        <v>30</v>
      </c>
      <c r="F138" s="7">
        <f t="shared" si="10"/>
        <v>210</v>
      </c>
      <c r="G138" s="7">
        <f t="shared" si="11"/>
        <v>7.777777777777778</v>
      </c>
    </row>
    <row r="139" spans="1:7" ht="12.75">
      <c r="A139" s="14">
        <v>38939</v>
      </c>
      <c r="B139" s="14" t="s">
        <v>44</v>
      </c>
      <c r="C139" s="10" t="s">
        <v>207</v>
      </c>
      <c r="D139" s="11">
        <v>2400</v>
      </c>
      <c r="E139" s="7">
        <v>7.8</v>
      </c>
      <c r="F139" s="7">
        <f t="shared" si="10"/>
        <v>18720</v>
      </c>
      <c r="G139" s="7">
        <f t="shared" si="11"/>
        <v>693.3333333333334</v>
      </c>
    </row>
    <row r="140" spans="1:7" ht="12.75">
      <c r="A140" s="14">
        <v>38939</v>
      </c>
      <c r="B140" s="14" t="s">
        <v>44</v>
      </c>
      <c r="C140" s="10" t="s">
        <v>45</v>
      </c>
      <c r="D140" s="11">
        <v>12</v>
      </c>
      <c r="E140" s="7">
        <v>150</v>
      </c>
      <c r="F140" s="7">
        <f t="shared" si="10"/>
        <v>1800</v>
      </c>
      <c r="G140" s="7">
        <f t="shared" si="11"/>
        <v>66.66666666666667</v>
      </c>
    </row>
    <row r="141" spans="1:7" ht="12.75">
      <c r="A141" s="14">
        <v>38940</v>
      </c>
      <c r="B141" s="14" t="s">
        <v>122</v>
      </c>
      <c r="C141" s="10" t="s">
        <v>30</v>
      </c>
      <c r="D141" s="11">
        <v>1</v>
      </c>
      <c r="E141" s="7">
        <v>200</v>
      </c>
      <c r="F141" s="7">
        <f t="shared" si="10"/>
        <v>200</v>
      </c>
      <c r="G141" s="7">
        <f t="shared" si="11"/>
        <v>7.407407407407407</v>
      </c>
    </row>
    <row r="142" spans="1:7" ht="12.75">
      <c r="A142" s="14">
        <v>38940</v>
      </c>
      <c r="B142" s="14" t="s">
        <v>122</v>
      </c>
      <c r="C142" s="10" t="s">
        <v>143</v>
      </c>
      <c r="D142" s="11">
        <f>F142/E142</f>
        <v>4.025</v>
      </c>
      <c r="E142" s="7">
        <v>120</v>
      </c>
      <c r="F142" s="7">
        <v>483</v>
      </c>
      <c r="G142" s="7">
        <f t="shared" si="11"/>
        <v>17.88888888888889</v>
      </c>
    </row>
    <row r="143" spans="1:7" ht="12.75">
      <c r="A143" s="14">
        <v>38940</v>
      </c>
      <c r="B143" s="14" t="s">
        <v>122</v>
      </c>
      <c r="C143" s="10" t="s">
        <v>147</v>
      </c>
      <c r="D143" s="11">
        <v>30</v>
      </c>
      <c r="E143" s="7">
        <v>12</v>
      </c>
      <c r="F143" s="7">
        <f aca="true" t="shared" si="12" ref="F143:F156">E143*D143</f>
        <v>360</v>
      </c>
      <c r="G143" s="7">
        <f t="shared" si="11"/>
        <v>13.333333333333334</v>
      </c>
    </row>
    <row r="144" spans="1:7" ht="12.75">
      <c r="A144" s="14">
        <v>38941</v>
      </c>
      <c r="B144" s="14" t="s">
        <v>122</v>
      </c>
      <c r="C144" s="10" t="s">
        <v>139</v>
      </c>
      <c r="D144" s="25">
        <v>1.2512195</v>
      </c>
      <c r="E144" s="7">
        <v>4100</v>
      </c>
      <c r="F144" s="7">
        <f t="shared" si="12"/>
        <v>5129.999949999999</v>
      </c>
      <c r="G144" s="7">
        <f t="shared" si="11"/>
        <v>189.99999814814814</v>
      </c>
    </row>
    <row r="145" spans="1:7" ht="12.75">
      <c r="A145" s="14">
        <v>38941</v>
      </c>
      <c r="B145" s="14" t="s">
        <v>122</v>
      </c>
      <c r="C145" s="10" t="s">
        <v>159</v>
      </c>
      <c r="D145" s="25">
        <v>1.8170732</v>
      </c>
      <c r="E145" s="7">
        <v>4100</v>
      </c>
      <c r="F145" s="7">
        <f t="shared" si="12"/>
        <v>7450.000120000001</v>
      </c>
      <c r="G145" s="7">
        <f t="shared" si="11"/>
        <v>275.9259303703704</v>
      </c>
    </row>
    <row r="146" spans="1:7" ht="12.75">
      <c r="A146" s="14">
        <v>38941</v>
      </c>
      <c r="B146" s="14" t="s">
        <v>122</v>
      </c>
      <c r="C146" s="10" t="s">
        <v>140</v>
      </c>
      <c r="D146" s="25">
        <v>0.6341463</v>
      </c>
      <c r="E146" s="7">
        <v>4100</v>
      </c>
      <c r="F146" s="7">
        <f t="shared" si="12"/>
        <v>2599.99983</v>
      </c>
      <c r="G146" s="7">
        <f t="shared" si="11"/>
        <v>96.29629000000001</v>
      </c>
    </row>
    <row r="147" spans="1:7" ht="12.75">
      <c r="A147" s="14">
        <v>38941</v>
      </c>
      <c r="B147" s="14" t="s">
        <v>122</v>
      </c>
      <c r="C147" s="10" t="s">
        <v>182</v>
      </c>
      <c r="D147" s="11">
        <v>2.6</v>
      </c>
      <c r="E147" s="7">
        <v>160</v>
      </c>
      <c r="F147" s="7">
        <f t="shared" si="12"/>
        <v>416</v>
      </c>
      <c r="G147" s="7">
        <f t="shared" si="11"/>
        <v>15.407407407407407</v>
      </c>
    </row>
    <row r="148" spans="1:7" ht="12.75">
      <c r="A148" s="14">
        <v>38941</v>
      </c>
      <c r="B148" s="14" t="s">
        <v>122</v>
      </c>
      <c r="C148" s="10" t="s">
        <v>202</v>
      </c>
      <c r="D148" s="11">
        <v>12</v>
      </c>
      <c r="E148" s="7">
        <v>27</v>
      </c>
      <c r="F148" s="7">
        <f t="shared" si="12"/>
        <v>324</v>
      </c>
      <c r="G148" s="7">
        <f t="shared" si="11"/>
        <v>12</v>
      </c>
    </row>
    <row r="149" spans="1:7" ht="12.75">
      <c r="A149" s="14">
        <v>38941</v>
      </c>
      <c r="B149" s="14" t="s">
        <v>122</v>
      </c>
      <c r="C149" s="10" t="s">
        <v>87</v>
      </c>
      <c r="D149" s="11">
        <v>20</v>
      </c>
      <c r="E149" s="7">
        <v>35</v>
      </c>
      <c r="F149" s="7">
        <f t="shared" si="12"/>
        <v>700</v>
      </c>
      <c r="G149" s="7">
        <f t="shared" si="11"/>
        <v>25.925925925925927</v>
      </c>
    </row>
    <row r="150" spans="1:7" ht="12.75">
      <c r="A150" s="14">
        <v>38941</v>
      </c>
      <c r="B150" s="14" t="s">
        <v>122</v>
      </c>
      <c r="C150" s="10" t="s">
        <v>142</v>
      </c>
      <c r="D150" s="11">
        <v>1</v>
      </c>
      <c r="E150" s="7">
        <v>150</v>
      </c>
      <c r="F150" s="7">
        <f t="shared" si="12"/>
        <v>150</v>
      </c>
      <c r="G150" s="7">
        <f t="shared" si="11"/>
        <v>5.555555555555555</v>
      </c>
    </row>
    <row r="151" spans="1:7" ht="12.75">
      <c r="A151" s="14">
        <v>38942</v>
      </c>
      <c r="B151" s="14" t="s">
        <v>44</v>
      </c>
      <c r="C151" s="10" t="s">
        <v>211</v>
      </c>
      <c r="D151" s="11">
        <v>450</v>
      </c>
      <c r="E151" s="7">
        <v>47</v>
      </c>
      <c r="F151" s="7">
        <f t="shared" si="12"/>
        <v>21150</v>
      </c>
      <c r="G151" s="7">
        <f t="shared" si="11"/>
        <v>783.3333333333334</v>
      </c>
    </row>
    <row r="152" spans="1:7" ht="12.75">
      <c r="A152" s="14">
        <v>38943</v>
      </c>
      <c r="B152" s="14" t="s">
        <v>44</v>
      </c>
      <c r="C152" s="10" t="s">
        <v>43</v>
      </c>
      <c r="D152" s="11">
        <v>15</v>
      </c>
      <c r="E152" s="7">
        <v>210</v>
      </c>
      <c r="F152" s="7">
        <f t="shared" si="12"/>
        <v>3150</v>
      </c>
      <c r="G152" s="7">
        <f t="shared" si="11"/>
        <v>116.66666666666667</v>
      </c>
    </row>
    <row r="153" spans="1:7" ht="12.75">
      <c r="A153" s="14">
        <v>38946</v>
      </c>
      <c r="B153" s="14" t="s">
        <v>122</v>
      </c>
      <c r="C153" s="10" t="s">
        <v>128</v>
      </c>
      <c r="D153" s="11">
        <v>10</v>
      </c>
      <c r="E153" s="7">
        <v>3835</v>
      </c>
      <c r="F153" s="7">
        <f t="shared" si="12"/>
        <v>38350</v>
      </c>
      <c r="G153" s="7">
        <f t="shared" si="11"/>
        <v>1420.3703703703704</v>
      </c>
    </row>
    <row r="154" spans="1:7" ht="12.75">
      <c r="A154" s="14">
        <v>38947</v>
      </c>
      <c r="B154" s="14" t="s">
        <v>44</v>
      </c>
      <c r="C154" s="10" t="s">
        <v>43</v>
      </c>
      <c r="D154" s="11">
        <v>8</v>
      </c>
      <c r="E154" s="7">
        <v>230</v>
      </c>
      <c r="F154" s="7">
        <f t="shared" si="12"/>
        <v>1840</v>
      </c>
      <c r="G154" s="7">
        <f t="shared" si="11"/>
        <v>68.14814814814815</v>
      </c>
    </row>
    <row r="155" spans="1:7" ht="12.75">
      <c r="A155" s="14">
        <v>38948</v>
      </c>
      <c r="B155" s="14" t="s">
        <v>122</v>
      </c>
      <c r="C155" s="10" t="s">
        <v>129</v>
      </c>
      <c r="D155" s="11">
        <v>1</v>
      </c>
      <c r="E155" s="7">
        <f>7800+800</f>
        <v>8600</v>
      </c>
      <c r="F155" s="7">
        <f t="shared" si="12"/>
        <v>8600</v>
      </c>
      <c r="G155" s="7">
        <f t="shared" si="11"/>
        <v>318.51851851851853</v>
      </c>
    </row>
    <row r="156" spans="1:7" ht="12.75">
      <c r="A156" s="14">
        <v>38948</v>
      </c>
      <c r="B156" s="14" t="s">
        <v>122</v>
      </c>
      <c r="C156" s="10" t="s">
        <v>130</v>
      </c>
      <c r="D156" s="11">
        <v>1</v>
      </c>
      <c r="E156" s="7">
        <f>173435+4570</f>
        <v>178005</v>
      </c>
      <c r="F156" s="7">
        <f t="shared" si="12"/>
        <v>178005</v>
      </c>
      <c r="G156" s="7">
        <f aca="true" t="shared" si="13" ref="G156:G178">F156/27</f>
        <v>6592.777777777777</v>
      </c>
    </row>
    <row r="157" spans="1:7" ht="12.75">
      <c r="A157" s="14">
        <v>38948</v>
      </c>
      <c r="B157" s="14" t="s">
        <v>44</v>
      </c>
      <c r="C157" s="10" t="s">
        <v>205</v>
      </c>
      <c r="D157" s="11">
        <v>4</v>
      </c>
      <c r="E157" s="7">
        <v>220</v>
      </c>
      <c r="F157" s="7">
        <f aca="true" t="shared" si="14" ref="F157:F162">E157*D157</f>
        <v>880</v>
      </c>
      <c r="G157" s="7">
        <f t="shared" si="13"/>
        <v>32.592592592592595</v>
      </c>
    </row>
    <row r="158" spans="1:7" ht="12.75">
      <c r="A158" s="14">
        <v>38948</v>
      </c>
      <c r="B158" s="14" t="s">
        <v>44</v>
      </c>
      <c r="C158" s="10" t="s">
        <v>205</v>
      </c>
      <c r="D158" s="11">
        <v>1</v>
      </c>
      <c r="E158" s="7">
        <v>200</v>
      </c>
      <c r="F158" s="7">
        <f t="shared" si="14"/>
        <v>200</v>
      </c>
      <c r="G158" s="7">
        <f t="shared" si="13"/>
        <v>7.407407407407407</v>
      </c>
    </row>
    <row r="159" spans="1:7" ht="12.75">
      <c r="A159" s="14">
        <v>38948</v>
      </c>
      <c r="B159" s="14" t="s">
        <v>44</v>
      </c>
      <c r="C159" s="10" t="s">
        <v>205</v>
      </c>
      <c r="D159" s="11">
        <v>1</v>
      </c>
      <c r="E159" s="7">
        <v>240</v>
      </c>
      <c r="F159" s="7">
        <f t="shared" si="14"/>
        <v>240</v>
      </c>
      <c r="G159" s="7">
        <f t="shared" si="13"/>
        <v>8.88888888888889</v>
      </c>
    </row>
    <row r="160" spans="1:7" ht="12.75">
      <c r="A160" s="14">
        <v>38951</v>
      </c>
      <c r="B160" s="14" t="s">
        <v>122</v>
      </c>
      <c r="C160" s="10" t="s">
        <v>26</v>
      </c>
      <c r="D160" s="11">
        <v>12</v>
      </c>
      <c r="E160" s="7">
        <v>12</v>
      </c>
      <c r="F160" s="7">
        <f t="shared" si="14"/>
        <v>144</v>
      </c>
      <c r="G160" s="7">
        <f t="shared" si="13"/>
        <v>5.333333333333333</v>
      </c>
    </row>
    <row r="161" spans="1:7" ht="12.75">
      <c r="A161" s="14">
        <v>38951</v>
      </c>
      <c r="B161" s="14" t="s">
        <v>122</v>
      </c>
      <c r="C161" s="10" t="s">
        <v>144</v>
      </c>
      <c r="D161" s="11">
        <v>1</v>
      </c>
      <c r="E161" s="7">
        <v>130</v>
      </c>
      <c r="F161" s="7">
        <f t="shared" si="14"/>
        <v>130</v>
      </c>
      <c r="G161" s="7">
        <f t="shared" si="13"/>
        <v>4.814814814814815</v>
      </c>
    </row>
    <row r="162" spans="1:7" ht="12.75">
      <c r="A162" s="14">
        <v>38951</v>
      </c>
      <c r="B162" s="14" t="s">
        <v>122</v>
      </c>
      <c r="C162" s="10" t="s">
        <v>145</v>
      </c>
      <c r="D162" s="11">
        <v>3</v>
      </c>
      <c r="E162" s="7">
        <v>360</v>
      </c>
      <c r="F162" s="7">
        <f t="shared" si="14"/>
        <v>1080</v>
      </c>
      <c r="G162" s="7">
        <f t="shared" si="13"/>
        <v>40</v>
      </c>
    </row>
    <row r="163" spans="1:7" ht="12.75">
      <c r="A163" s="20">
        <v>38952</v>
      </c>
      <c r="B163" s="14" t="s">
        <v>122</v>
      </c>
      <c r="C163" s="10" t="s">
        <v>131</v>
      </c>
      <c r="D163" s="11">
        <v>2</v>
      </c>
      <c r="E163" s="7">
        <v>3130</v>
      </c>
      <c r="F163" s="7">
        <f aca="true" t="shared" si="15" ref="F163:F222">E163*D163</f>
        <v>6260</v>
      </c>
      <c r="G163" s="7">
        <f t="shared" si="13"/>
        <v>231.85185185185185</v>
      </c>
    </row>
    <row r="164" spans="1:7" ht="12.75">
      <c r="A164" s="20">
        <v>38952</v>
      </c>
      <c r="B164" s="14" t="s">
        <v>122</v>
      </c>
      <c r="C164" s="10" t="s">
        <v>132</v>
      </c>
      <c r="D164" s="11">
        <v>1</v>
      </c>
      <c r="E164" s="7">
        <v>2600</v>
      </c>
      <c r="F164" s="7">
        <f t="shared" si="15"/>
        <v>2600</v>
      </c>
      <c r="G164" s="7">
        <f t="shared" si="13"/>
        <v>96.29629629629629</v>
      </c>
    </row>
    <row r="165" spans="1:7" ht="12.75">
      <c r="A165" s="20">
        <v>38952</v>
      </c>
      <c r="B165" s="14" t="s">
        <v>44</v>
      </c>
      <c r="C165" s="10" t="s">
        <v>43</v>
      </c>
      <c r="D165" s="11">
        <v>5</v>
      </c>
      <c r="E165" s="7">
        <v>230</v>
      </c>
      <c r="F165" s="7">
        <f t="shared" si="15"/>
        <v>1150</v>
      </c>
      <c r="G165" s="7">
        <f t="shared" si="13"/>
        <v>42.592592592592595</v>
      </c>
    </row>
    <row r="166" spans="1:7" ht="12.75">
      <c r="A166" s="20">
        <v>38957</v>
      </c>
      <c r="B166" s="14" t="s">
        <v>122</v>
      </c>
      <c r="C166" s="10" t="s">
        <v>146</v>
      </c>
      <c r="D166" s="11">
        <v>8</v>
      </c>
      <c r="E166" s="7">
        <v>75</v>
      </c>
      <c r="F166" s="7">
        <f t="shared" si="15"/>
        <v>600</v>
      </c>
      <c r="G166" s="7">
        <f t="shared" si="13"/>
        <v>22.22222222222222</v>
      </c>
    </row>
    <row r="167" spans="1:7" ht="12.75">
      <c r="A167" s="20">
        <v>38957</v>
      </c>
      <c r="B167" s="14" t="s">
        <v>122</v>
      </c>
      <c r="C167" s="10" t="s">
        <v>87</v>
      </c>
      <c r="D167" s="11">
        <v>10</v>
      </c>
      <c r="E167" s="7">
        <v>35</v>
      </c>
      <c r="F167" s="7">
        <f t="shared" si="15"/>
        <v>350</v>
      </c>
      <c r="G167" s="7">
        <f t="shared" si="13"/>
        <v>12.962962962962964</v>
      </c>
    </row>
    <row r="168" spans="1:7" ht="12.75">
      <c r="A168" s="20">
        <v>38957</v>
      </c>
      <c r="B168" s="14" t="s">
        <v>122</v>
      </c>
      <c r="C168" s="10" t="s">
        <v>147</v>
      </c>
      <c r="D168" s="11">
        <v>5</v>
      </c>
      <c r="E168" s="7">
        <v>30</v>
      </c>
      <c r="F168" s="7">
        <f t="shared" si="15"/>
        <v>150</v>
      </c>
      <c r="G168" s="7">
        <f t="shared" si="13"/>
        <v>5.555555555555555</v>
      </c>
    </row>
    <row r="169" spans="1:7" ht="12.75">
      <c r="A169" s="20">
        <v>38958</v>
      </c>
      <c r="B169" s="14" t="s">
        <v>122</v>
      </c>
      <c r="C169" s="10" t="s">
        <v>87</v>
      </c>
      <c r="D169" s="11">
        <v>15</v>
      </c>
      <c r="E169" s="7">
        <v>35</v>
      </c>
      <c r="F169" s="7">
        <f t="shared" si="15"/>
        <v>525</v>
      </c>
      <c r="G169" s="7">
        <f t="shared" si="13"/>
        <v>19.444444444444443</v>
      </c>
    </row>
    <row r="170" spans="1:7" ht="12.75">
      <c r="A170" s="20">
        <v>38961</v>
      </c>
      <c r="B170" s="14" t="s">
        <v>122</v>
      </c>
      <c r="C170" s="10" t="s">
        <v>148</v>
      </c>
      <c r="D170" s="11">
        <v>1</v>
      </c>
      <c r="E170" s="7">
        <v>150</v>
      </c>
      <c r="F170" s="7">
        <f t="shared" si="15"/>
        <v>150</v>
      </c>
      <c r="G170" s="7">
        <f t="shared" si="13"/>
        <v>5.555555555555555</v>
      </c>
    </row>
    <row r="171" spans="1:7" ht="12.75">
      <c r="A171" s="20">
        <v>38961</v>
      </c>
      <c r="B171" s="14" t="s">
        <v>122</v>
      </c>
      <c r="C171" s="10" t="s">
        <v>144</v>
      </c>
      <c r="D171" s="11">
        <v>2</v>
      </c>
      <c r="E171" s="7">
        <v>140</v>
      </c>
      <c r="F171" s="7">
        <f t="shared" si="15"/>
        <v>280</v>
      </c>
      <c r="G171" s="7">
        <f t="shared" si="13"/>
        <v>10.37037037037037</v>
      </c>
    </row>
    <row r="172" spans="1:7" ht="12.75">
      <c r="A172" s="20">
        <v>38961</v>
      </c>
      <c r="B172" s="14" t="s">
        <v>122</v>
      </c>
      <c r="C172" s="10" t="s">
        <v>212</v>
      </c>
      <c r="D172" s="11">
        <v>1</v>
      </c>
      <c r="E172" s="7">
        <v>1350</v>
      </c>
      <c r="F172" s="7">
        <f t="shared" si="15"/>
        <v>1350</v>
      </c>
      <c r="G172" s="7">
        <f t="shared" si="13"/>
        <v>50</v>
      </c>
    </row>
    <row r="173" spans="1:7" ht="12.75">
      <c r="A173" s="20">
        <v>38965</v>
      </c>
      <c r="B173" s="14" t="s">
        <v>122</v>
      </c>
      <c r="C173" s="10" t="s">
        <v>149</v>
      </c>
      <c r="D173" s="11">
        <v>46</v>
      </c>
      <c r="E173" s="7">
        <v>1.5</v>
      </c>
      <c r="F173" s="7">
        <f t="shared" si="15"/>
        <v>69</v>
      </c>
      <c r="G173" s="7">
        <f t="shared" si="13"/>
        <v>2.5555555555555554</v>
      </c>
    </row>
    <row r="174" spans="1:7" ht="12.75">
      <c r="A174" s="20">
        <v>38965</v>
      </c>
      <c r="B174" s="14" t="s">
        <v>122</v>
      </c>
      <c r="C174" s="10" t="s">
        <v>166</v>
      </c>
      <c r="D174" s="11">
        <v>5</v>
      </c>
      <c r="E174" s="7">
        <v>20</v>
      </c>
      <c r="F174" s="7">
        <f t="shared" si="15"/>
        <v>100</v>
      </c>
      <c r="G174" s="7">
        <f t="shared" si="13"/>
        <v>3.7037037037037037</v>
      </c>
    </row>
    <row r="175" spans="1:7" ht="12.75">
      <c r="A175" s="20">
        <v>38967</v>
      </c>
      <c r="B175" s="14" t="s">
        <v>122</v>
      </c>
      <c r="C175" s="10" t="s">
        <v>150</v>
      </c>
      <c r="D175" s="11">
        <v>50</v>
      </c>
      <c r="E175" s="7">
        <v>640</v>
      </c>
      <c r="F175" s="7">
        <f t="shared" si="15"/>
        <v>32000</v>
      </c>
      <c r="G175" s="7">
        <f t="shared" si="13"/>
        <v>1185.1851851851852</v>
      </c>
    </row>
    <row r="176" spans="1:7" ht="12.75">
      <c r="A176" s="20">
        <v>38967</v>
      </c>
      <c r="B176" s="14" t="s">
        <v>122</v>
      </c>
      <c r="C176" s="10" t="s">
        <v>25</v>
      </c>
      <c r="D176" s="11">
        <v>10</v>
      </c>
      <c r="E176" s="7">
        <v>91</v>
      </c>
      <c r="F176" s="7">
        <f t="shared" si="15"/>
        <v>910</v>
      </c>
      <c r="G176" s="7">
        <f t="shared" si="13"/>
        <v>33.7037037037037</v>
      </c>
    </row>
    <row r="177" spans="1:7" ht="12.75">
      <c r="A177" s="20">
        <v>38967</v>
      </c>
      <c r="B177" s="14" t="s">
        <v>122</v>
      </c>
      <c r="C177" s="10" t="s">
        <v>87</v>
      </c>
      <c r="D177" s="11">
        <v>10</v>
      </c>
      <c r="E177" s="7">
        <v>50</v>
      </c>
      <c r="F177" s="7">
        <f t="shared" si="15"/>
        <v>500</v>
      </c>
      <c r="G177" s="7">
        <f t="shared" si="13"/>
        <v>18.51851851851852</v>
      </c>
    </row>
    <row r="178" spans="1:7" ht="12.75">
      <c r="A178" s="20">
        <v>38973</v>
      </c>
      <c r="B178" s="14" t="s">
        <v>44</v>
      </c>
      <c r="C178" s="10" t="s">
        <v>43</v>
      </c>
      <c r="D178" s="11">
        <v>4</v>
      </c>
      <c r="E178" s="7">
        <v>220</v>
      </c>
      <c r="F178" s="7">
        <f t="shared" si="15"/>
        <v>880</v>
      </c>
      <c r="G178" s="7">
        <f t="shared" si="13"/>
        <v>32.592592592592595</v>
      </c>
    </row>
    <row r="179" spans="1:7" ht="12.75">
      <c r="A179" s="26">
        <v>38997</v>
      </c>
      <c r="B179" s="14" t="s">
        <v>44</v>
      </c>
      <c r="C179" s="10" t="s">
        <v>151</v>
      </c>
      <c r="D179" s="11">
        <v>210</v>
      </c>
      <c r="E179" s="27">
        <v>400</v>
      </c>
      <c r="F179" s="7">
        <f t="shared" si="15"/>
        <v>84000</v>
      </c>
      <c r="G179" s="27">
        <f>F179/26.7</f>
        <v>3146.067415730337</v>
      </c>
    </row>
    <row r="180" spans="1:7" ht="12.75">
      <c r="A180" s="26">
        <v>38997</v>
      </c>
      <c r="B180" s="14" t="s">
        <v>44</v>
      </c>
      <c r="C180" s="10" t="s">
        <v>152</v>
      </c>
      <c r="D180" s="11">
        <v>1</v>
      </c>
      <c r="E180" s="27">
        <v>5000</v>
      </c>
      <c r="F180" s="7">
        <f t="shared" si="15"/>
        <v>5000</v>
      </c>
      <c r="G180" s="27">
        <f aca="true" t="shared" si="16" ref="G180:G238">F180/26.7</f>
        <v>187.26591760299627</v>
      </c>
    </row>
    <row r="181" spans="1:7" ht="12.75">
      <c r="A181" s="26">
        <v>38997</v>
      </c>
      <c r="B181" s="14" t="s">
        <v>44</v>
      </c>
      <c r="C181" s="10" t="s">
        <v>153</v>
      </c>
      <c r="D181" s="11">
        <v>20</v>
      </c>
      <c r="E181" s="27">
        <v>82</v>
      </c>
      <c r="F181" s="7">
        <f t="shared" si="15"/>
        <v>1640</v>
      </c>
      <c r="G181" s="27">
        <f t="shared" si="16"/>
        <v>61.423220973782776</v>
      </c>
    </row>
    <row r="182" spans="1:7" ht="12.75">
      <c r="A182" s="26">
        <v>38997</v>
      </c>
      <c r="B182" s="14" t="s">
        <v>44</v>
      </c>
      <c r="C182" s="10" t="s">
        <v>154</v>
      </c>
      <c r="D182" s="11">
        <v>2</v>
      </c>
      <c r="E182" s="27">
        <v>250</v>
      </c>
      <c r="F182" s="7">
        <f t="shared" si="15"/>
        <v>500</v>
      </c>
      <c r="G182" s="27">
        <f t="shared" si="16"/>
        <v>18.726591760299627</v>
      </c>
    </row>
    <row r="183" spans="1:7" ht="12.75">
      <c r="A183" s="26">
        <v>38997</v>
      </c>
      <c r="B183" s="14" t="s">
        <v>44</v>
      </c>
      <c r="C183" s="10" t="s">
        <v>155</v>
      </c>
      <c r="D183" s="11">
        <v>1</v>
      </c>
      <c r="E183" s="27">
        <v>300</v>
      </c>
      <c r="F183" s="7">
        <f t="shared" si="15"/>
        <v>300</v>
      </c>
      <c r="G183" s="27">
        <f t="shared" si="16"/>
        <v>11.235955056179776</v>
      </c>
    </row>
    <row r="184" spans="1:7" ht="12.75">
      <c r="A184" s="26">
        <v>38997</v>
      </c>
      <c r="B184" s="14" t="s">
        <v>44</v>
      </c>
      <c r="C184" s="10" t="s">
        <v>166</v>
      </c>
      <c r="D184" s="11">
        <v>4</v>
      </c>
      <c r="E184" s="27">
        <v>90</v>
      </c>
      <c r="F184" s="7">
        <f t="shared" si="15"/>
        <v>360</v>
      </c>
      <c r="G184" s="27">
        <f t="shared" si="16"/>
        <v>13.483146067415731</v>
      </c>
    </row>
    <row r="185" spans="1:7" ht="12.75">
      <c r="A185" s="26">
        <v>38997</v>
      </c>
      <c r="B185" s="14" t="s">
        <v>44</v>
      </c>
      <c r="C185" s="10" t="s">
        <v>26</v>
      </c>
      <c r="D185" s="11">
        <v>12</v>
      </c>
      <c r="E185" s="27">
        <v>15</v>
      </c>
      <c r="F185" s="7">
        <f t="shared" si="15"/>
        <v>180</v>
      </c>
      <c r="G185" s="27">
        <f t="shared" si="16"/>
        <v>6.741573033707866</v>
      </c>
    </row>
    <row r="186" spans="1:7" ht="12.75">
      <c r="A186" s="26">
        <v>38999</v>
      </c>
      <c r="B186" s="14" t="s">
        <v>44</v>
      </c>
      <c r="C186" s="10" t="s">
        <v>75</v>
      </c>
      <c r="D186" s="11">
        <v>4</v>
      </c>
      <c r="E186" s="27">
        <v>90</v>
      </c>
      <c r="F186" s="7">
        <f t="shared" si="15"/>
        <v>360</v>
      </c>
      <c r="G186" s="27">
        <f t="shared" si="16"/>
        <v>13.483146067415731</v>
      </c>
    </row>
    <row r="187" spans="1:7" ht="12.75">
      <c r="A187" s="26">
        <v>38999</v>
      </c>
      <c r="B187" s="14" t="s">
        <v>44</v>
      </c>
      <c r="C187" s="10" t="s">
        <v>171</v>
      </c>
      <c r="D187" s="11">
        <v>2</v>
      </c>
      <c r="E187" s="27">
        <v>80</v>
      </c>
      <c r="F187" s="7">
        <f t="shared" si="15"/>
        <v>160</v>
      </c>
      <c r="G187" s="27">
        <f t="shared" si="16"/>
        <v>5.992509363295881</v>
      </c>
    </row>
    <row r="188" spans="1:7" ht="12.75">
      <c r="A188" s="26">
        <v>38999</v>
      </c>
      <c r="B188" s="14" t="s">
        <v>44</v>
      </c>
      <c r="C188" s="10" t="s">
        <v>172</v>
      </c>
      <c r="D188" s="11">
        <v>1</v>
      </c>
      <c r="E188" s="27">
        <v>30</v>
      </c>
      <c r="F188" s="7">
        <f t="shared" si="15"/>
        <v>30</v>
      </c>
      <c r="G188" s="27">
        <f t="shared" si="16"/>
        <v>1.1235955056179776</v>
      </c>
    </row>
    <row r="189" spans="1:7" ht="12.75">
      <c r="A189" s="26">
        <v>38999</v>
      </c>
      <c r="B189" s="14" t="s">
        <v>44</v>
      </c>
      <c r="C189" s="10" t="s">
        <v>172</v>
      </c>
      <c r="D189" s="11">
        <v>1</v>
      </c>
      <c r="E189" s="27">
        <v>50</v>
      </c>
      <c r="F189" s="7">
        <f t="shared" si="15"/>
        <v>50</v>
      </c>
      <c r="G189" s="27">
        <f t="shared" si="16"/>
        <v>1.8726591760299627</v>
      </c>
    </row>
    <row r="190" spans="1:7" ht="12.75">
      <c r="A190" s="26">
        <v>38999</v>
      </c>
      <c r="B190" s="14" t="s">
        <v>44</v>
      </c>
      <c r="C190" s="10" t="s">
        <v>173</v>
      </c>
      <c r="D190" s="11">
        <v>1</v>
      </c>
      <c r="E190" s="27">
        <v>80</v>
      </c>
      <c r="F190" s="7">
        <f t="shared" si="15"/>
        <v>80</v>
      </c>
      <c r="G190" s="27">
        <f t="shared" si="16"/>
        <v>2.9962546816479403</v>
      </c>
    </row>
    <row r="191" spans="1:7" ht="12.75">
      <c r="A191" s="26">
        <v>38999</v>
      </c>
      <c r="B191" s="14" t="s">
        <v>44</v>
      </c>
      <c r="C191" s="10" t="s">
        <v>174</v>
      </c>
      <c r="D191" s="11">
        <v>8</v>
      </c>
      <c r="E191" s="27">
        <v>5</v>
      </c>
      <c r="F191" s="7">
        <f t="shared" si="15"/>
        <v>40</v>
      </c>
      <c r="G191" s="27">
        <f t="shared" si="16"/>
        <v>1.4981273408239701</v>
      </c>
    </row>
    <row r="192" spans="1:7" ht="12.75">
      <c r="A192" s="26">
        <v>38999</v>
      </c>
      <c r="B192" s="14" t="s">
        <v>44</v>
      </c>
      <c r="C192" s="10" t="s">
        <v>26</v>
      </c>
      <c r="D192" s="11">
        <v>12</v>
      </c>
      <c r="E192" s="27">
        <v>10</v>
      </c>
      <c r="F192" s="7">
        <f t="shared" si="15"/>
        <v>120</v>
      </c>
      <c r="G192" s="27">
        <f t="shared" si="16"/>
        <v>4.49438202247191</v>
      </c>
    </row>
    <row r="193" spans="1:7" ht="12.75">
      <c r="A193" s="26">
        <v>38999</v>
      </c>
      <c r="B193" s="14" t="s">
        <v>44</v>
      </c>
      <c r="C193" s="10" t="s">
        <v>43</v>
      </c>
      <c r="D193" s="11">
        <v>15</v>
      </c>
      <c r="E193" s="27">
        <v>205</v>
      </c>
      <c r="F193" s="7">
        <f t="shared" si="15"/>
        <v>3075</v>
      </c>
      <c r="G193" s="27">
        <f t="shared" si="16"/>
        <v>115.1685393258427</v>
      </c>
    </row>
    <row r="194" spans="1:7" ht="12.75">
      <c r="A194" s="26">
        <v>38999</v>
      </c>
      <c r="B194" s="14" t="s">
        <v>44</v>
      </c>
      <c r="C194" s="10" t="s">
        <v>114</v>
      </c>
      <c r="D194" s="11">
        <v>3</v>
      </c>
      <c r="E194" s="27">
        <v>230</v>
      </c>
      <c r="F194" s="7">
        <f t="shared" si="15"/>
        <v>690</v>
      </c>
      <c r="G194" s="27">
        <f t="shared" si="16"/>
        <v>25.842696629213485</v>
      </c>
    </row>
    <row r="195" spans="1:7" ht="12.75">
      <c r="A195" s="26">
        <v>38999</v>
      </c>
      <c r="B195" s="14" t="s">
        <v>44</v>
      </c>
      <c r="C195" s="10" t="s">
        <v>177</v>
      </c>
      <c r="D195" s="11">
        <v>5</v>
      </c>
      <c r="E195" s="27">
        <v>195</v>
      </c>
      <c r="F195" s="7">
        <f t="shared" si="15"/>
        <v>975</v>
      </c>
      <c r="G195" s="27">
        <f t="shared" si="16"/>
        <v>36.51685393258427</v>
      </c>
    </row>
    <row r="196" spans="1:7" ht="12.75">
      <c r="A196" s="26">
        <v>38999</v>
      </c>
      <c r="B196" s="14" t="s">
        <v>44</v>
      </c>
      <c r="C196" s="10" t="s">
        <v>183</v>
      </c>
      <c r="D196" s="11">
        <v>1</v>
      </c>
      <c r="E196" s="27">
        <v>600</v>
      </c>
      <c r="F196" s="7">
        <f t="shared" si="15"/>
        <v>600</v>
      </c>
      <c r="G196" s="27">
        <f t="shared" si="16"/>
        <v>22.471910112359552</v>
      </c>
    </row>
    <row r="197" spans="1:7" ht="12.75">
      <c r="A197" s="26">
        <v>38999</v>
      </c>
      <c r="B197" s="14" t="s">
        <v>168</v>
      </c>
      <c r="C197" s="10" t="s">
        <v>184</v>
      </c>
      <c r="D197" s="11">
        <v>2</v>
      </c>
      <c r="E197" s="27">
        <v>305</v>
      </c>
      <c r="F197" s="7">
        <f t="shared" si="15"/>
        <v>610</v>
      </c>
      <c r="G197" s="27">
        <f t="shared" si="16"/>
        <v>22.846441947565545</v>
      </c>
    </row>
    <row r="198" spans="1:7" ht="12.75">
      <c r="A198" s="26">
        <v>38999</v>
      </c>
      <c r="B198" s="14" t="s">
        <v>168</v>
      </c>
      <c r="C198" s="10" t="s">
        <v>185</v>
      </c>
      <c r="D198" s="11">
        <v>2</v>
      </c>
      <c r="E198" s="27">
        <v>20</v>
      </c>
      <c r="F198" s="7">
        <f t="shared" si="15"/>
        <v>40</v>
      </c>
      <c r="G198" s="27">
        <f t="shared" si="16"/>
        <v>1.4981273408239701</v>
      </c>
    </row>
    <row r="199" spans="1:7" ht="12.75">
      <c r="A199" s="26">
        <v>38999</v>
      </c>
      <c r="B199" s="14" t="s">
        <v>168</v>
      </c>
      <c r="C199" s="10" t="s">
        <v>186</v>
      </c>
      <c r="D199" s="11">
        <v>2</v>
      </c>
      <c r="E199" s="27">
        <v>15</v>
      </c>
      <c r="F199" s="7">
        <f t="shared" si="15"/>
        <v>30</v>
      </c>
      <c r="G199" s="27">
        <f t="shared" si="16"/>
        <v>1.1235955056179776</v>
      </c>
    </row>
    <row r="200" spans="1:7" ht="12.75">
      <c r="A200" s="26">
        <v>39000</v>
      </c>
      <c r="B200" s="14" t="s">
        <v>44</v>
      </c>
      <c r="C200" s="10" t="s">
        <v>156</v>
      </c>
      <c r="D200" s="11">
        <v>1</v>
      </c>
      <c r="E200" s="27">
        <v>42601.1</v>
      </c>
      <c r="F200" s="7">
        <f t="shared" si="15"/>
        <v>42601.1</v>
      </c>
      <c r="G200" s="27">
        <f t="shared" si="16"/>
        <v>1595.5468164794008</v>
      </c>
    </row>
    <row r="201" spans="1:7" ht="12.75">
      <c r="A201" s="26">
        <v>39000</v>
      </c>
      <c r="B201" s="14" t="s">
        <v>168</v>
      </c>
      <c r="C201" s="10" t="s">
        <v>167</v>
      </c>
      <c r="D201" s="11">
        <v>17.6</v>
      </c>
      <c r="E201" s="27">
        <v>135</v>
      </c>
      <c r="F201" s="7">
        <f t="shared" si="15"/>
        <v>2376</v>
      </c>
      <c r="G201" s="27">
        <f t="shared" si="16"/>
        <v>88.98876404494382</v>
      </c>
    </row>
    <row r="202" spans="1:7" ht="12.75">
      <c r="A202" s="26">
        <v>39000</v>
      </c>
      <c r="B202" s="14" t="s">
        <v>44</v>
      </c>
      <c r="C202" s="10" t="s">
        <v>166</v>
      </c>
      <c r="D202" s="11">
        <v>2</v>
      </c>
      <c r="E202" s="27">
        <v>100</v>
      </c>
      <c r="F202" s="7">
        <f t="shared" si="15"/>
        <v>200</v>
      </c>
      <c r="G202" s="27">
        <f t="shared" si="16"/>
        <v>7.490636704119851</v>
      </c>
    </row>
    <row r="203" spans="1:7" ht="12.75">
      <c r="A203" s="26">
        <v>39000</v>
      </c>
      <c r="B203" s="14" t="s">
        <v>44</v>
      </c>
      <c r="C203" s="17" t="s">
        <v>169</v>
      </c>
      <c r="D203" s="11">
        <v>2</v>
      </c>
      <c r="E203" s="27">
        <v>40</v>
      </c>
      <c r="F203" s="7">
        <f t="shared" si="15"/>
        <v>80</v>
      </c>
      <c r="G203" s="27">
        <f t="shared" si="16"/>
        <v>2.9962546816479403</v>
      </c>
    </row>
    <row r="204" spans="1:7" ht="12.75">
      <c r="A204" s="26">
        <v>39000</v>
      </c>
      <c r="B204" s="14" t="s">
        <v>44</v>
      </c>
      <c r="C204" s="10" t="s">
        <v>224</v>
      </c>
      <c r="D204" s="11">
        <v>3</v>
      </c>
      <c r="E204" s="27">
        <v>100</v>
      </c>
      <c r="F204" s="7">
        <f t="shared" si="15"/>
        <v>300</v>
      </c>
      <c r="G204" s="27">
        <f t="shared" si="16"/>
        <v>11.235955056179776</v>
      </c>
    </row>
    <row r="205" spans="1:7" ht="12.75">
      <c r="A205" s="26">
        <v>39000</v>
      </c>
      <c r="B205" s="14" t="s">
        <v>168</v>
      </c>
      <c r="C205" s="10" t="s">
        <v>209</v>
      </c>
      <c r="D205" s="11">
        <v>400</v>
      </c>
      <c r="E205" s="27">
        <v>20</v>
      </c>
      <c r="F205" s="7">
        <f t="shared" si="15"/>
        <v>8000</v>
      </c>
      <c r="G205" s="27">
        <f t="shared" si="16"/>
        <v>299.62546816479403</v>
      </c>
    </row>
    <row r="206" spans="1:7" ht="12.75">
      <c r="A206" s="26">
        <v>39000</v>
      </c>
      <c r="B206" s="14" t="s">
        <v>168</v>
      </c>
      <c r="C206" s="10" t="s">
        <v>158</v>
      </c>
      <c r="D206" s="11">
        <v>10</v>
      </c>
      <c r="E206" s="27">
        <v>200</v>
      </c>
      <c r="F206" s="7">
        <f t="shared" si="15"/>
        <v>2000</v>
      </c>
      <c r="G206" s="27">
        <f t="shared" si="16"/>
        <v>74.90636704119851</v>
      </c>
    </row>
    <row r="207" spans="1:7" ht="12.75">
      <c r="A207" s="26">
        <v>39000</v>
      </c>
      <c r="B207" s="14" t="s">
        <v>168</v>
      </c>
      <c r="C207" s="10" t="s">
        <v>187</v>
      </c>
      <c r="D207" s="11">
        <v>1</v>
      </c>
      <c r="E207" s="27">
        <v>170</v>
      </c>
      <c r="F207" s="7">
        <f t="shared" si="15"/>
        <v>170</v>
      </c>
      <c r="G207" s="27">
        <f t="shared" si="16"/>
        <v>6.367041198501873</v>
      </c>
    </row>
    <row r="208" spans="1:7" ht="12.75">
      <c r="A208" s="26">
        <v>39000</v>
      </c>
      <c r="B208" s="14" t="s">
        <v>168</v>
      </c>
      <c r="C208" s="10" t="s">
        <v>170</v>
      </c>
      <c r="D208" s="11">
        <v>10</v>
      </c>
      <c r="E208" s="27">
        <v>175</v>
      </c>
      <c r="F208" s="7">
        <f t="shared" si="15"/>
        <v>1750</v>
      </c>
      <c r="G208" s="27">
        <f t="shared" si="16"/>
        <v>65.54307116104869</v>
      </c>
    </row>
    <row r="209" spans="1:7" ht="12.75">
      <c r="A209" s="26">
        <v>39001</v>
      </c>
      <c r="B209" s="14" t="s">
        <v>44</v>
      </c>
      <c r="C209" s="10" t="s">
        <v>157</v>
      </c>
      <c r="D209" s="11">
        <v>1</v>
      </c>
      <c r="E209" s="27">
        <v>283000</v>
      </c>
      <c r="F209" s="7">
        <f t="shared" si="15"/>
        <v>283000</v>
      </c>
      <c r="G209" s="27">
        <f t="shared" si="16"/>
        <v>10599.250936329589</v>
      </c>
    </row>
    <row r="210" spans="1:7" ht="12.75">
      <c r="A210" s="26">
        <v>39001</v>
      </c>
      <c r="B210" s="14" t="s">
        <v>168</v>
      </c>
      <c r="C210" s="10" t="s">
        <v>170</v>
      </c>
      <c r="D210" s="11">
        <v>2</v>
      </c>
      <c r="E210" s="27">
        <v>163</v>
      </c>
      <c r="F210" s="7">
        <f t="shared" si="15"/>
        <v>326</v>
      </c>
      <c r="G210" s="27">
        <f t="shared" si="16"/>
        <v>12.209737827715356</v>
      </c>
    </row>
    <row r="211" spans="1:7" ht="12.75">
      <c r="A211" s="26">
        <v>39001</v>
      </c>
      <c r="B211" s="14" t="s">
        <v>44</v>
      </c>
      <c r="C211" s="10" t="s">
        <v>95</v>
      </c>
      <c r="D211" s="11">
        <v>1</v>
      </c>
      <c r="E211" s="27">
        <v>4400</v>
      </c>
      <c r="F211" s="7">
        <f t="shared" si="15"/>
        <v>4400</v>
      </c>
      <c r="G211" s="27">
        <f t="shared" si="16"/>
        <v>164.79400749063672</v>
      </c>
    </row>
    <row r="212" spans="1:7" ht="12.75">
      <c r="A212" s="26">
        <v>39002</v>
      </c>
      <c r="B212" s="14" t="s">
        <v>44</v>
      </c>
      <c r="C212" s="10" t="s">
        <v>43</v>
      </c>
      <c r="D212" s="11">
        <v>20</v>
      </c>
      <c r="E212" s="27">
        <v>200</v>
      </c>
      <c r="F212" s="7">
        <f t="shared" si="15"/>
        <v>4000</v>
      </c>
      <c r="G212" s="27">
        <f t="shared" si="16"/>
        <v>149.81273408239701</v>
      </c>
    </row>
    <row r="213" spans="1:7" ht="12.75">
      <c r="A213" s="26">
        <v>39002</v>
      </c>
      <c r="B213" s="14" t="s">
        <v>168</v>
      </c>
      <c r="C213" s="10" t="s">
        <v>178</v>
      </c>
      <c r="D213" s="11">
        <v>2</v>
      </c>
      <c r="E213" s="27">
        <v>382</v>
      </c>
      <c r="F213" s="7">
        <f t="shared" si="15"/>
        <v>764</v>
      </c>
      <c r="G213" s="27">
        <f t="shared" si="16"/>
        <v>28.61423220973783</v>
      </c>
    </row>
    <row r="214" spans="1:7" ht="12.75">
      <c r="A214" s="26">
        <v>39002</v>
      </c>
      <c r="B214" s="14" t="s">
        <v>168</v>
      </c>
      <c r="C214" s="10" t="s">
        <v>179</v>
      </c>
      <c r="D214" s="11">
        <v>1</v>
      </c>
      <c r="E214" s="27">
        <v>205</v>
      </c>
      <c r="F214" s="7">
        <f t="shared" si="15"/>
        <v>205</v>
      </c>
      <c r="G214" s="27">
        <f t="shared" si="16"/>
        <v>7.677902621722847</v>
      </c>
    </row>
    <row r="215" spans="1:7" ht="12.75">
      <c r="A215" s="26">
        <v>39002</v>
      </c>
      <c r="B215" s="14" t="s">
        <v>168</v>
      </c>
      <c r="C215" s="10" t="s">
        <v>188</v>
      </c>
      <c r="D215" s="11">
        <v>1</v>
      </c>
      <c r="E215" s="27">
        <v>30</v>
      </c>
      <c r="F215" s="7">
        <f t="shared" si="15"/>
        <v>30</v>
      </c>
      <c r="G215" s="27">
        <f t="shared" si="16"/>
        <v>1.1235955056179776</v>
      </c>
    </row>
    <row r="216" spans="1:7" ht="12.75">
      <c r="A216" s="26">
        <v>39002</v>
      </c>
      <c r="B216" s="14" t="s">
        <v>168</v>
      </c>
      <c r="C216" s="10" t="s">
        <v>189</v>
      </c>
      <c r="D216" s="11">
        <v>1</v>
      </c>
      <c r="E216" s="27">
        <v>30</v>
      </c>
      <c r="F216" s="7">
        <f t="shared" si="15"/>
        <v>30</v>
      </c>
      <c r="G216" s="27">
        <f t="shared" si="16"/>
        <v>1.1235955056179776</v>
      </c>
    </row>
    <row r="217" spans="1:7" ht="12.75">
      <c r="A217" s="26">
        <v>39002</v>
      </c>
      <c r="B217" s="14" t="s">
        <v>168</v>
      </c>
      <c r="C217" s="10" t="s">
        <v>190</v>
      </c>
      <c r="D217" s="11">
        <v>1</v>
      </c>
      <c r="E217" s="27">
        <v>130</v>
      </c>
      <c r="F217" s="7">
        <f t="shared" si="15"/>
        <v>130</v>
      </c>
      <c r="G217" s="27">
        <f t="shared" si="16"/>
        <v>4.868913857677903</v>
      </c>
    </row>
    <row r="218" spans="1:7" ht="12.75">
      <c r="A218" s="26">
        <v>39002</v>
      </c>
      <c r="B218" s="14" t="s">
        <v>44</v>
      </c>
      <c r="C218" s="10" t="s">
        <v>166</v>
      </c>
      <c r="D218" s="11">
        <v>1</v>
      </c>
      <c r="E218" s="27">
        <v>1000</v>
      </c>
      <c r="F218" s="7">
        <f t="shared" si="15"/>
        <v>1000</v>
      </c>
      <c r="G218" s="27">
        <f t="shared" si="16"/>
        <v>37.453183520599254</v>
      </c>
    </row>
    <row r="219" spans="1:7" ht="12.75">
      <c r="A219" s="26">
        <v>39002</v>
      </c>
      <c r="B219" s="14" t="s">
        <v>168</v>
      </c>
      <c r="C219" s="10" t="s">
        <v>186</v>
      </c>
      <c r="D219" s="11">
        <v>2</v>
      </c>
      <c r="E219" s="27">
        <v>40</v>
      </c>
      <c r="F219" s="7">
        <f t="shared" si="15"/>
        <v>80</v>
      </c>
      <c r="G219" s="27">
        <f t="shared" si="16"/>
        <v>2.9962546816479403</v>
      </c>
    </row>
    <row r="220" spans="1:7" ht="12.75">
      <c r="A220" s="26">
        <v>39003</v>
      </c>
      <c r="B220" s="14" t="s">
        <v>168</v>
      </c>
      <c r="C220" s="10" t="s">
        <v>176</v>
      </c>
      <c r="D220" s="11">
        <v>2</v>
      </c>
      <c r="E220" s="27">
        <v>265</v>
      </c>
      <c r="F220" s="7">
        <f t="shared" si="15"/>
        <v>530</v>
      </c>
      <c r="G220" s="27">
        <f t="shared" si="16"/>
        <v>19.850187265917604</v>
      </c>
    </row>
    <row r="221" spans="1:7" ht="12.75">
      <c r="A221" s="26">
        <v>39004</v>
      </c>
      <c r="B221" s="14" t="s">
        <v>44</v>
      </c>
      <c r="C221" s="10" t="s">
        <v>158</v>
      </c>
      <c r="D221" s="11">
        <v>4</v>
      </c>
      <c r="E221" s="27">
        <v>350</v>
      </c>
      <c r="F221" s="7">
        <f t="shared" si="15"/>
        <v>1400</v>
      </c>
      <c r="G221" s="27">
        <f t="shared" si="16"/>
        <v>52.434456928838955</v>
      </c>
    </row>
    <row r="222" spans="1:7" ht="12.75">
      <c r="A222" s="26">
        <v>39005</v>
      </c>
      <c r="B222" s="14" t="s">
        <v>44</v>
      </c>
      <c r="C222" s="10" t="s">
        <v>158</v>
      </c>
      <c r="D222" s="11">
        <v>7</v>
      </c>
      <c r="E222" s="27">
        <v>200</v>
      </c>
      <c r="F222" s="7">
        <f t="shared" si="15"/>
        <v>1400</v>
      </c>
      <c r="G222" s="27">
        <f t="shared" si="16"/>
        <v>52.434456928838955</v>
      </c>
    </row>
    <row r="223" spans="1:7" ht="12.75">
      <c r="A223" s="26">
        <v>39009</v>
      </c>
      <c r="B223" s="14" t="s">
        <v>44</v>
      </c>
      <c r="C223" s="10" t="s">
        <v>158</v>
      </c>
      <c r="D223" s="11">
        <v>8</v>
      </c>
      <c r="E223" s="27">
        <v>240</v>
      </c>
      <c r="F223" s="7">
        <f aca="true" t="shared" si="17" ref="F223:F302">E223*D223</f>
        <v>1920</v>
      </c>
      <c r="G223" s="27">
        <f t="shared" si="16"/>
        <v>71.91011235955057</v>
      </c>
    </row>
    <row r="224" spans="1:7" ht="12.75">
      <c r="A224" s="26">
        <v>39010</v>
      </c>
      <c r="B224" s="14" t="s">
        <v>44</v>
      </c>
      <c r="C224" s="10" t="s">
        <v>175</v>
      </c>
      <c r="D224" s="11">
        <v>1</v>
      </c>
      <c r="E224" s="27">
        <v>300</v>
      </c>
      <c r="F224" s="7">
        <f t="shared" si="17"/>
        <v>300</v>
      </c>
      <c r="G224" s="27">
        <f t="shared" si="16"/>
        <v>11.235955056179776</v>
      </c>
    </row>
    <row r="225" spans="1:7" ht="12.75">
      <c r="A225" s="26">
        <v>39010</v>
      </c>
      <c r="B225" s="14" t="s">
        <v>44</v>
      </c>
      <c r="C225" s="10" t="s">
        <v>26</v>
      </c>
      <c r="D225" s="11">
        <v>12</v>
      </c>
      <c r="E225" s="27">
        <v>12</v>
      </c>
      <c r="F225" s="7">
        <f t="shared" si="17"/>
        <v>144</v>
      </c>
      <c r="G225" s="27">
        <f t="shared" si="16"/>
        <v>5.393258426966292</v>
      </c>
    </row>
    <row r="226" spans="1:7" ht="12.75">
      <c r="A226" s="26">
        <v>39010</v>
      </c>
      <c r="B226" s="14" t="s">
        <v>168</v>
      </c>
      <c r="C226" s="10" t="s">
        <v>181</v>
      </c>
      <c r="D226" s="11">
        <v>37.2</v>
      </c>
      <c r="E226" s="27">
        <v>420</v>
      </c>
      <c r="F226" s="7">
        <f t="shared" si="17"/>
        <v>15624.000000000002</v>
      </c>
      <c r="G226" s="27">
        <f t="shared" si="16"/>
        <v>585.1685393258427</v>
      </c>
    </row>
    <row r="227" spans="1:7" ht="12.75">
      <c r="A227" s="26">
        <v>39010</v>
      </c>
      <c r="B227" s="14" t="s">
        <v>168</v>
      </c>
      <c r="C227" s="10" t="s">
        <v>182</v>
      </c>
      <c r="D227" s="11">
        <v>36</v>
      </c>
      <c r="E227" s="27">
        <v>85</v>
      </c>
      <c r="F227" s="7">
        <f t="shared" si="17"/>
        <v>3060</v>
      </c>
      <c r="G227" s="27">
        <f t="shared" si="16"/>
        <v>114.60674157303372</v>
      </c>
    </row>
    <row r="228" spans="1:7" ht="12.75">
      <c r="A228" s="26">
        <v>39011</v>
      </c>
      <c r="B228" s="14" t="s">
        <v>44</v>
      </c>
      <c r="C228" s="10" t="s">
        <v>119</v>
      </c>
      <c r="D228" s="11">
        <v>150</v>
      </c>
      <c r="E228" s="27">
        <v>27</v>
      </c>
      <c r="F228" s="7">
        <f t="shared" si="17"/>
        <v>4050</v>
      </c>
      <c r="G228" s="27">
        <f t="shared" si="16"/>
        <v>151.68539325842698</v>
      </c>
    </row>
    <row r="229" spans="1:7" ht="12.75">
      <c r="A229" s="26">
        <v>39011</v>
      </c>
      <c r="B229" s="14" t="s">
        <v>44</v>
      </c>
      <c r="C229" s="10" t="s">
        <v>159</v>
      </c>
      <c r="D229" s="25">
        <v>0.544186</v>
      </c>
      <c r="E229" s="27">
        <v>4300</v>
      </c>
      <c r="F229" s="7">
        <f t="shared" si="17"/>
        <v>2339.9997999999996</v>
      </c>
      <c r="G229" s="27">
        <f t="shared" si="16"/>
        <v>87.64044194756553</v>
      </c>
    </row>
    <row r="230" spans="1:7" ht="12.75">
      <c r="A230" s="26">
        <v>39011</v>
      </c>
      <c r="B230" s="14" t="s">
        <v>44</v>
      </c>
      <c r="C230" s="10" t="s">
        <v>161</v>
      </c>
      <c r="D230" s="25">
        <v>0.227907</v>
      </c>
      <c r="E230" s="27">
        <v>4300</v>
      </c>
      <c r="F230" s="7">
        <f t="shared" si="17"/>
        <v>980.0001</v>
      </c>
      <c r="G230" s="27">
        <f t="shared" si="16"/>
        <v>36.70412359550562</v>
      </c>
    </row>
    <row r="231" spans="1:7" ht="12.75">
      <c r="A231" s="26">
        <v>39011</v>
      </c>
      <c r="B231" s="14" t="s">
        <v>44</v>
      </c>
      <c r="C231" s="10" t="s">
        <v>162</v>
      </c>
      <c r="D231" s="25">
        <v>4</v>
      </c>
      <c r="E231" s="27">
        <v>400</v>
      </c>
      <c r="F231" s="7">
        <f t="shared" si="17"/>
        <v>1600</v>
      </c>
      <c r="G231" s="27">
        <f t="shared" si="16"/>
        <v>59.925093632958806</v>
      </c>
    </row>
    <row r="232" spans="1:7" ht="12.75">
      <c r="A232" s="26">
        <v>39011</v>
      </c>
      <c r="B232" s="14" t="s">
        <v>44</v>
      </c>
      <c r="C232" s="10" t="s">
        <v>163</v>
      </c>
      <c r="D232" s="11">
        <v>7</v>
      </c>
      <c r="E232" s="27">
        <v>400</v>
      </c>
      <c r="F232" s="7">
        <f t="shared" si="17"/>
        <v>2800</v>
      </c>
      <c r="G232" s="27">
        <f t="shared" si="16"/>
        <v>104.86891385767791</v>
      </c>
    </row>
    <row r="233" spans="1:7" ht="12.75">
      <c r="A233" s="26">
        <v>39012</v>
      </c>
      <c r="B233" s="14" t="s">
        <v>168</v>
      </c>
      <c r="C233" s="10" t="s">
        <v>77</v>
      </c>
      <c r="D233" s="11">
        <v>1</v>
      </c>
      <c r="E233" s="27">
        <v>240</v>
      </c>
      <c r="F233" s="7">
        <f t="shared" si="17"/>
        <v>240</v>
      </c>
      <c r="G233" s="27">
        <f t="shared" si="16"/>
        <v>8.98876404494382</v>
      </c>
    </row>
    <row r="234" spans="1:7" ht="12.75">
      <c r="A234" s="26">
        <v>39012</v>
      </c>
      <c r="B234" s="14" t="s">
        <v>168</v>
      </c>
      <c r="C234" s="10" t="s">
        <v>192</v>
      </c>
      <c r="D234" s="11">
        <v>1</v>
      </c>
      <c r="E234" s="27">
        <v>220</v>
      </c>
      <c r="F234" s="7">
        <f t="shared" si="17"/>
        <v>220</v>
      </c>
      <c r="G234" s="27">
        <f t="shared" si="16"/>
        <v>8.239700374531836</v>
      </c>
    </row>
    <row r="235" spans="1:7" ht="12.75">
      <c r="A235" s="26">
        <v>39012</v>
      </c>
      <c r="B235" s="14" t="s">
        <v>168</v>
      </c>
      <c r="C235" s="10" t="s">
        <v>144</v>
      </c>
      <c r="D235" s="11">
        <v>1</v>
      </c>
      <c r="E235" s="27">
        <v>200</v>
      </c>
      <c r="F235" s="7">
        <f t="shared" si="17"/>
        <v>200</v>
      </c>
      <c r="G235" s="27">
        <f t="shared" si="16"/>
        <v>7.490636704119851</v>
      </c>
    </row>
    <row r="236" spans="1:7" ht="12.75">
      <c r="A236" s="26">
        <v>39012</v>
      </c>
      <c r="B236" s="14" t="s">
        <v>168</v>
      </c>
      <c r="C236" s="10" t="s">
        <v>193</v>
      </c>
      <c r="D236" s="11">
        <v>6</v>
      </c>
      <c r="E236" s="27">
        <v>35</v>
      </c>
      <c r="F236" s="7">
        <f t="shared" si="17"/>
        <v>210</v>
      </c>
      <c r="G236" s="27">
        <f t="shared" si="16"/>
        <v>7.865168539325843</v>
      </c>
    </row>
    <row r="237" spans="1:7" ht="12.75">
      <c r="A237" s="26">
        <v>39013</v>
      </c>
      <c r="B237" s="14" t="s">
        <v>168</v>
      </c>
      <c r="C237" s="10" t="s">
        <v>87</v>
      </c>
      <c r="D237" s="11">
        <v>4</v>
      </c>
      <c r="E237" s="27">
        <v>35</v>
      </c>
      <c r="F237" s="7">
        <f t="shared" si="17"/>
        <v>140</v>
      </c>
      <c r="G237" s="27">
        <f t="shared" si="16"/>
        <v>5.2434456928838955</v>
      </c>
    </row>
    <row r="238" spans="1:7" ht="12.75">
      <c r="A238" s="26">
        <v>39013</v>
      </c>
      <c r="B238" s="14" t="s">
        <v>168</v>
      </c>
      <c r="C238" s="10" t="s">
        <v>144</v>
      </c>
      <c r="D238" s="11">
        <v>1.1</v>
      </c>
      <c r="E238" s="27">
        <v>200</v>
      </c>
      <c r="F238" s="7">
        <f t="shared" si="17"/>
        <v>220.00000000000003</v>
      </c>
      <c r="G238" s="27">
        <f t="shared" si="16"/>
        <v>8.239700374531836</v>
      </c>
    </row>
    <row r="239" spans="1:7" ht="12.75">
      <c r="A239" s="26">
        <v>39013</v>
      </c>
      <c r="B239" s="14" t="s">
        <v>168</v>
      </c>
      <c r="C239" s="10" t="s">
        <v>180</v>
      </c>
      <c r="D239" s="11">
        <v>2</v>
      </c>
      <c r="E239" s="27">
        <v>50</v>
      </c>
      <c r="F239" s="7">
        <f t="shared" si="17"/>
        <v>100</v>
      </c>
      <c r="G239" s="27">
        <f aca="true" t="shared" si="18" ref="G239:G254">F239/26.7</f>
        <v>3.7453183520599254</v>
      </c>
    </row>
    <row r="240" spans="1:7" ht="12.75">
      <c r="A240" s="26">
        <v>39014</v>
      </c>
      <c r="B240" s="14" t="s">
        <v>44</v>
      </c>
      <c r="C240" s="10" t="s">
        <v>158</v>
      </c>
      <c r="D240" s="11">
        <v>5</v>
      </c>
      <c r="E240" s="27">
        <v>240</v>
      </c>
      <c r="F240" s="7">
        <f t="shared" si="17"/>
        <v>1200</v>
      </c>
      <c r="G240" s="27">
        <f t="shared" si="18"/>
        <v>44.943820224719104</v>
      </c>
    </row>
    <row r="241" spans="1:7" ht="12.75">
      <c r="A241" s="26">
        <v>39015</v>
      </c>
      <c r="B241" s="14" t="s">
        <v>44</v>
      </c>
      <c r="C241" s="10" t="s">
        <v>191</v>
      </c>
      <c r="D241" s="11">
        <v>1</v>
      </c>
      <c r="E241" s="27">
        <v>90</v>
      </c>
      <c r="F241" s="7">
        <f t="shared" si="17"/>
        <v>90</v>
      </c>
      <c r="G241" s="27">
        <f t="shared" si="18"/>
        <v>3.370786516853933</v>
      </c>
    </row>
    <row r="242" spans="1:7" ht="12.75">
      <c r="A242" s="26">
        <v>39017</v>
      </c>
      <c r="B242" s="14" t="s">
        <v>44</v>
      </c>
      <c r="C242" s="10" t="s">
        <v>43</v>
      </c>
      <c r="D242" s="11">
        <v>1</v>
      </c>
      <c r="E242" s="27">
        <v>250</v>
      </c>
      <c r="F242" s="7">
        <f t="shared" si="17"/>
        <v>250</v>
      </c>
      <c r="G242" s="27">
        <f t="shared" si="18"/>
        <v>9.363295880149813</v>
      </c>
    </row>
    <row r="243" spans="1:7" ht="12.75">
      <c r="A243" s="26">
        <v>39018</v>
      </c>
      <c r="B243" s="14" t="s">
        <v>44</v>
      </c>
      <c r="C243" s="10" t="s">
        <v>163</v>
      </c>
      <c r="D243" s="11">
        <v>5</v>
      </c>
      <c r="E243" s="27">
        <v>80</v>
      </c>
      <c r="F243" s="7">
        <f t="shared" si="17"/>
        <v>400</v>
      </c>
      <c r="G243" s="27">
        <f t="shared" si="18"/>
        <v>14.981273408239701</v>
      </c>
    </row>
    <row r="244" spans="1:7" ht="12.75">
      <c r="A244" s="26">
        <v>39018</v>
      </c>
      <c r="B244" s="14" t="s">
        <v>44</v>
      </c>
      <c r="C244" s="10" t="s">
        <v>162</v>
      </c>
      <c r="D244" s="11">
        <v>5</v>
      </c>
      <c r="E244" s="27">
        <v>48</v>
      </c>
      <c r="F244" s="7">
        <f t="shared" si="17"/>
        <v>240</v>
      </c>
      <c r="G244" s="27">
        <f t="shared" si="18"/>
        <v>8.98876404494382</v>
      </c>
    </row>
    <row r="245" spans="1:7" ht="12.75">
      <c r="A245" s="26">
        <v>39018</v>
      </c>
      <c r="B245" s="14" t="s">
        <v>44</v>
      </c>
      <c r="C245" s="10" t="s">
        <v>164</v>
      </c>
      <c r="D245" s="11">
        <v>2</v>
      </c>
      <c r="E245" s="27">
        <v>1500</v>
      </c>
      <c r="F245" s="7">
        <f t="shared" si="17"/>
        <v>3000</v>
      </c>
      <c r="G245" s="27">
        <f t="shared" si="18"/>
        <v>112.35955056179776</v>
      </c>
    </row>
    <row r="246" spans="1:7" ht="12.75">
      <c r="A246" s="26">
        <v>39018</v>
      </c>
      <c r="B246" s="14" t="s">
        <v>44</v>
      </c>
      <c r="C246" s="10" t="s">
        <v>120</v>
      </c>
      <c r="D246" s="11">
        <v>1200</v>
      </c>
      <c r="E246" s="27">
        <v>10.5</v>
      </c>
      <c r="F246" s="7">
        <f t="shared" si="17"/>
        <v>12600</v>
      </c>
      <c r="G246" s="27">
        <f t="shared" si="18"/>
        <v>471.91011235955057</v>
      </c>
    </row>
    <row r="247" spans="1:7" ht="12.75">
      <c r="A247" s="26">
        <v>39018</v>
      </c>
      <c r="B247" s="14" t="s">
        <v>44</v>
      </c>
      <c r="C247" s="10" t="s">
        <v>43</v>
      </c>
      <c r="D247" s="11">
        <v>5</v>
      </c>
      <c r="E247" s="27">
        <v>200</v>
      </c>
      <c r="F247" s="7">
        <f t="shared" si="17"/>
        <v>1000</v>
      </c>
      <c r="G247" s="27">
        <f t="shared" si="18"/>
        <v>37.453183520599254</v>
      </c>
    </row>
    <row r="248" spans="1:7" ht="12.75">
      <c r="A248" s="26">
        <v>39018</v>
      </c>
      <c r="B248" s="14" t="s">
        <v>44</v>
      </c>
      <c r="C248" s="10" t="s">
        <v>165</v>
      </c>
      <c r="D248" s="11">
        <v>30</v>
      </c>
      <c r="E248" s="27">
        <v>20</v>
      </c>
      <c r="F248" s="7">
        <f t="shared" si="17"/>
        <v>600</v>
      </c>
      <c r="G248" s="27">
        <f t="shared" si="18"/>
        <v>22.471910112359552</v>
      </c>
    </row>
    <row r="249" spans="1:7" ht="12.75">
      <c r="A249" s="26">
        <v>39018</v>
      </c>
      <c r="B249" s="14" t="s">
        <v>44</v>
      </c>
      <c r="C249" s="10" t="s">
        <v>166</v>
      </c>
      <c r="D249" s="11">
        <v>1</v>
      </c>
      <c r="E249" s="27">
        <v>220</v>
      </c>
      <c r="F249" s="7">
        <f t="shared" si="17"/>
        <v>220</v>
      </c>
      <c r="G249" s="27">
        <f t="shared" si="18"/>
        <v>8.239700374531836</v>
      </c>
    </row>
    <row r="250" spans="1:7" ht="12.75">
      <c r="A250" s="26">
        <v>39021</v>
      </c>
      <c r="B250" s="14" t="s">
        <v>44</v>
      </c>
      <c r="C250" s="10" t="s">
        <v>43</v>
      </c>
      <c r="D250" s="11">
        <v>5</v>
      </c>
      <c r="E250" s="27">
        <v>250</v>
      </c>
      <c r="F250" s="7">
        <f t="shared" si="17"/>
        <v>1250</v>
      </c>
      <c r="G250" s="27">
        <f t="shared" si="18"/>
        <v>46.81647940074907</v>
      </c>
    </row>
    <row r="251" spans="1:7" ht="12.75">
      <c r="A251" s="26">
        <v>39021</v>
      </c>
      <c r="B251" s="14" t="s">
        <v>168</v>
      </c>
      <c r="C251" s="10" t="s">
        <v>194</v>
      </c>
      <c r="D251" s="11">
        <v>2</v>
      </c>
      <c r="E251" s="27">
        <v>52</v>
      </c>
      <c r="F251" s="7">
        <f t="shared" si="17"/>
        <v>104</v>
      </c>
      <c r="G251" s="27">
        <f t="shared" si="18"/>
        <v>3.8951310861423223</v>
      </c>
    </row>
    <row r="252" spans="1:7" ht="12.75">
      <c r="A252" s="26">
        <v>39023</v>
      </c>
      <c r="B252" s="14" t="s">
        <v>44</v>
      </c>
      <c r="C252" s="10" t="s">
        <v>43</v>
      </c>
      <c r="D252" s="11">
        <v>5</v>
      </c>
      <c r="E252" s="27">
        <v>250</v>
      </c>
      <c r="F252" s="7">
        <f t="shared" si="17"/>
        <v>1250</v>
      </c>
      <c r="G252" s="27">
        <f t="shared" si="18"/>
        <v>46.81647940074907</v>
      </c>
    </row>
    <row r="253" spans="1:7" ht="12.75">
      <c r="A253" s="26">
        <v>39023</v>
      </c>
      <c r="B253" s="14" t="s">
        <v>168</v>
      </c>
      <c r="C253" s="10" t="s">
        <v>158</v>
      </c>
      <c r="D253" s="11">
        <v>1</v>
      </c>
      <c r="E253" s="27">
        <v>35</v>
      </c>
      <c r="F253" s="7">
        <f t="shared" si="17"/>
        <v>35</v>
      </c>
      <c r="G253" s="27">
        <f t="shared" si="18"/>
        <v>1.3108614232209739</v>
      </c>
    </row>
    <row r="254" spans="1:7" ht="12.75">
      <c r="A254" s="26">
        <v>39023</v>
      </c>
      <c r="B254" s="14" t="s">
        <v>168</v>
      </c>
      <c r="C254" s="10" t="s">
        <v>195</v>
      </c>
      <c r="D254" s="11">
        <v>1</v>
      </c>
      <c r="E254" s="27">
        <v>60</v>
      </c>
      <c r="F254" s="7">
        <f t="shared" si="17"/>
        <v>60</v>
      </c>
      <c r="G254" s="27">
        <f t="shared" si="18"/>
        <v>2.247191011235955</v>
      </c>
    </row>
    <row r="255" spans="1:7" ht="12.75">
      <c r="A255" s="26">
        <v>39222</v>
      </c>
      <c r="B255" s="14" t="s">
        <v>168</v>
      </c>
      <c r="C255" s="10" t="s">
        <v>218</v>
      </c>
      <c r="D255" s="11">
        <v>1</v>
      </c>
      <c r="E255" s="27">
        <v>12290</v>
      </c>
      <c r="F255" s="7">
        <f t="shared" si="17"/>
        <v>12290</v>
      </c>
      <c r="G255" s="27">
        <f>F255/25.7</f>
        <v>478.21011673151753</v>
      </c>
    </row>
    <row r="256" spans="1:7" ht="12.75">
      <c r="A256" s="26">
        <v>39244</v>
      </c>
      <c r="B256" s="14" t="s">
        <v>168</v>
      </c>
      <c r="C256" s="10" t="s">
        <v>220</v>
      </c>
      <c r="D256" s="11">
        <v>1</v>
      </c>
      <c r="E256" s="27">
        <v>950</v>
      </c>
      <c r="F256" s="7">
        <f t="shared" si="17"/>
        <v>950</v>
      </c>
      <c r="G256" s="27">
        <f>F256/25.5</f>
        <v>37.254901960784316</v>
      </c>
    </row>
    <row r="257" spans="1:7" ht="12.75">
      <c r="A257" s="26">
        <v>39244</v>
      </c>
      <c r="B257" s="14" t="s">
        <v>168</v>
      </c>
      <c r="C257" s="10" t="s">
        <v>88</v>
      </c>
      <c r="D257" s="11">
        <v>1</v>
      </c>
      <c r="E257" s="27">
        <v>800</v>
      </c>
      <c r="F257" s="7">
        <f t="shared" si="17"/>
        <v>800</v>
      </c>
      <c r="G257" s="27">
        <f aca="true" t="shared" si="19" ref="G257:G336">F257/25.5</f>
        <v>31.372549019607842</v>
      </c>
    </row>
    <row r="258" spans="1:7" ht="12.75">
      <c r="A258" s="26">
        <v>39244</v>
      </c>
      <c r="B258" s="14" t="s">
        <v>168</v>
      </c>
      <c r="C258" s="10" t="s">
        <v>43</v>
      </c>
      <c r="D258" s="11">
        <v>50</v>
      </c>
      <c r="E258" s="27">
        <v>260</v>
      </c>
      <c r="F258" s="7">
        <f t="shared" si="17"/>
        <v>13000</v>
      </c>
      <c r="G258" s="27">
        <f t="shared" si="19"/>
        <v>509.80392156862746</v>
      </c>
    </row>
    <row r="259" spans="1:7" ht="12.75">
      <c r="A259" s="26">
        <v>39244</v>
      </c>
      <c r="B259" s="14" t="s">
        <v>168</v>
      </c>
      <c r="C259" s="10" t="s">
        <v>221</v>
      </c>
      <c r="D259" s="11">
        <v>5</v>
      </c>
      <c r="E259" s="27">
        <v>130</v>
      </c>
      <c r="F259" s="7">
        <f t="shared" si="17"/>
        <v>650</v>
      </c>
      <c r="G259" s="27">
        <f t="shared" si="19"/>
        <v>25.49019607843137</v>
      </c>
    </row>
    <row r="260" spans="1:7" ht="12.75">
      <c r="A260" s="26">
        <v>39244</v>
      </c>
      <c r="B260" s="14" t="s">
        <v>168</v>
      </c>
      <c r="C260" s="10" t="s">
        <v>193</v>
      </c>
      <c r="D260" s="11">
        <v>75</v>
      </c>
      <c r="E260" s="27">
        <v>35</v>
      </c>
      <c r="F260" s="7">
        <f t="shared" si="17"/>
        <v>2625</v>
      </c>
      <c r="G260" s="27">
        <f t="shared" si="19"/>
        <v>102.94117647058823</v>
      </c>
    </row>
    <row r="261" spans="1:7" ht="12.75">
      <c r="A261" s="26">
        <v>39244</v>
      </c>
      <c r="B261" s="14" t="s">
        <v>168</v>
      </c>
      <c r="C261" s="10" t="s">
        <v>222</v>
      </c>
      <c r="D261" s="11">
        <v>2</v>
      </c>
      <c r="E261" s="27">
        <v>350</v>
      </c>
      <c r="F261" s="7">
        <f t="shared" si="17"/>
        <v>700</v>
      </c>
      <c r="G261" s="27">
        <f t="shared" si="19"/>
        <v>27.45098039215686</v>
      </c>
    </row>
    <row r="262" spans="1:7" ht="12.75">
      <c r="A262" s="26">
        <v>39244</v>
      </c>
      <c r="B262" s="14" t="s">
        <v>168</v>
      </c>
      <c r="C262" s="10" t="s">
        <v>26</v>
      </c>
      <c r="D262" s="11">
        <v>2</v>
      </c>
      <c r="E262" s="27">
        <v>15</v>
      </c>
      <c r="F262" s="7">
        <f t="shared" si="17"/>
        <v>30</v>
      </c>
      <c r="G262" s="27">
        <f t="shared" si="19"/>
        <v>1.1764705882352942</v>
      </c>
    </row>
    <row r="263" spans="1:7" ht="12.75">
      <c r="A263" s="26">
        <v>39244</v>
      </c>
      <c r="B263" s="14" t="s">
        <v>168</v>
      </c>
      <c r="C263" s="10" t="s">
        <v>87</v>
      </c>
      <c r="D263" s="11">
        <v>1</v>
      </c>
      <c r="E263" s="27">
        <v>200</v>
      </c>
      <c r="F263" s="7">
        <f t="shared" si="17"/>
        <v>200</v>
      </c>
      <c r="G263" s="27">
        <f t="shared" si="19"/>
        <v>7.8431372549019605</v>
      </c>
    </row>
    <row r="264" spans="1:7" ht="12.75">
      <c r="A264" s="26">
        <v>39246</v>
      </c>
      <c r="B264" s="14" t="s">
        <v>168</v>
      </c>
      <c r="C264" s="10" t="s">
        <v>221</v>
      </c>
      <c r="D264" s="11">
        <v>6</v>
      </c>
      <c r="E264" s="27">
        <v>150</v>
      </c>
      <c r="F264" s="7">
        <f t="shared" si="17"/>
        <v>900</v>
      </c>
      <c r="G264" s="27">
        <f t="shared" si="19"/>
        <v>35.294117647058826</v>
      </c>
    </row>
    <row r="265" spans="1:7" ht="12.75">
      <c r="A265" s="26">
        <v>39246</v>
      </c>
      <c r="B265" s="14" t="s">
        <v>168</v>
      </c>
      <c r="C265" s="10" t="s">
        <v>144</v>
      </c>
      <c r="D265" s="11">
        <v>1.5</v>
      </c>
      <c r="E265" s="27">
        <v>100</v>
      </c>
      <c r="F265" s="7">
        <f t="shared" si="17"/>
        <v>150</v>
      </c>
      <c r="G265" s="27">
        <f t="shared" si="19"/>
        <v>5.882352941176471</v>
      </c>
    </row>
    <row r="266" spans="1:7" ht="12.75">
      <c r="A266" s="26">
        <v>39246</v>
      </c>
      <c r="B266" s="14" t="s">
        <v>168</v>
      </c>
      <c r="C266" s="10" t="s">
        <v>224</v>
      </c>
      <c r="D266" s="11">
        <v>2</v>
      </c>
      <c r="E266" s="27">
        <v>55</v>
      </c>
      <c r="F266" s="7">
        <f t="shared" si="17"/>
        <v>110</v>
      </c>
      <c r="G266" s="27">
        <f t="shared" si="19"/>
        <v>4.313725490196078</v>
      </c>
    </row>
    <row r="267" spans="1:7" ht="12.75">
      <c r="A267" s="26">
        <v>39246</v>
      </c>
      <c r="B267" s="14" t="s">
        <v>168</v>
      </c>
      <c r="C267" s="10" t="s">
        <v>223</v>
      </c>
      <c r="D267" s="11">
        <v>1</v>
      </c>
      <c r="E267" s="27">
        <v>300</v>
      </c>
      <c r="F267" s="7">
        <f t="shared" si="17"/>
        <v>300</v>
      </c>
      <c r="G267" s="27">
        <f t="shared" si="19"/>
        <v>11.764705882352942</v>
      </c>
    </row>
    <row r="268" spans="1:7" ht="12.75">
      <c r="A268" s="26">
        <v>39246</v>
      </c>
      <c r="B268" s="14" t="s">
        <v>168</v>
      </c>
      <c r="C268" s="10" t="s">
        <v>224</v>
      </c>
      <c r="D268" s="11">
        <v>1</v>
      </c>
      <c r="E268" s="27">
        <v>100</v>
      </c>
      <c r="F268" s="7">
        <f t="shared" si="17"/>
        <v>100</v>
      </c>
      <c r="G268" s="27">
        <f t="shared" si="19"/>
        <v>3.9215686274509802</v>
      </c>
    </row>
    <row r="269" spans="1:7" ht="12.75">
      <c r="A269" s="26">
        <v>39247</v>
      </c>
      <c r="B269" s="14" t="s">
        <v>168</v>
      </c>
      <c r="C269" s="10" t="s">
        <v>221</v>
      </c>
      <c r="D269" s="11">
        <v>4</v>
      </c>
      <c r="E269" s="27">
        <v>130</v>
      </c>
      <c r="F269" s="7">
        <f t="shared" si="17"/>
        <v>520</v>
      </c>
      <c r="G269" s="27">
        <f t="shared" si="19"/>
        <v>20.392156862745097</v>
      </c>
    </row>
    <row r="270" spans="1:7" ht="12.75">
      <c r="A270" s="26">
        <v>39247</v>
      </c>
      <c r="B270" s="14" t="s">
        <v>168</v>
      </c>
      <c r="C270" s="10" t="s">
        <v>225</v>
      </c>
      <c r="D270" s="11">
        <v>3</v>
      </c>
      <c r="E270" s="27">
        <v>170</v>
      </c>
      <c r="F270" s="7">
        <f t="shared" si="17"/>
        <v>510</v>
      </c>
      <c r="G270" s="27">
        <f t="shared" si="19"/>
        <v>20</v>
      </c>
    </row>
    <row r="271" spans="1:7" ht="12.75">
      <c r="A271" s="26">
        <v>39247</v>
      </c>
      <c r="B271" s="14" t="s">
        <v>168</v>
      </c>
      <c r="C271" s="10" t="s">
        <v>224</v>
      </c>
      <c r="D271" s="11">
        <v>10</v>
      </c>
      <c r="E271" s="27">
        <v>55</v>
      </c>
      <c r="F271" s="7">
        <f t="shared" si="17"/>
        <v>550</v>
      </c>
      <c r="G271" s="27">
        <f t="shared" si="19"/>
        <v>21.568627450980394</v>
      </c>
    </row>
    <row r="272" spans="1:7" ht="12.75">
      <c r="A272" s="26">
        <v>39248</v>
      </c>
      <c r="B272" s="14" t="s">
        <v>168</v>
      </c>
      <c r="C272" s="10" t="s">
        <v>43</v>
      </c>
      <c r="D272" s="11">
        <v>20</v>
      </c>
      <c r="E272" s="27">
        <v>250</v>
      </c>
      <c r="F272" s="7">
        <f t="shared" si="17"/>
        <v>5000</v>
      </c>
      <c r="G272" s="27">
        <f t="shared" si="19"/>
        <v>196.07843137254903</v>
      </c>
    </row>
    <row r="273" spans="1:7" ht="12.75">
      <c r="A273" s="26">
        <v>39248</v>
      </c>
      <c r="B273" s="14" t="s">
        <v>168</v>
      </c>
      <c r="C273" s="10" t="s">
        <v>43</v>
      </c>
      <c r="D273" s="11">
        <v>15</v>
      </c>
      <c r="E273" s="27">
        <v>150</v>
      </c>
      <c r="F273" s="7">
        <f t="shared" si="17"/>
        <v>2250</v>
      </c>
      <c r="G273" s="27">
        <f t="shared" si="19"/>
        <v>88.23529411764706</v>
      </c>
    </row>
    <row r="274" spans="1:7" ht="12.75">
      <c r="A274" s="26">
        <v>39248</v>
      </c>
      <c r="B274" s="14" t="s">
        <v>168</v>
      </c>
      <c r="C274" s="10" t="s">
        <v>221</v>
      </c>
      <c r="D274" s="11">
        <v>15</v>
      </c>
      <c r="E274" s="27">
        <v>150</v>
      </c>
      <c r="F274" s="7">
        <f t="shared" si="17"/>
        <v>2250</v>
      </c>
      <c r="G274" s="27">
        <f t="shared" si="19"/>
        <v>88.23529411764706</v>
      </c>
    </row>
    <row r="275" spans="1:7" ht="12.75">
      <c r="A275" s="26">
        <v>39248</v>
      </c>
      <c r="B275" s="14" t="s">
        <v>168</v>
      </c>
      <c r="C275" s="10" t="s">
        <v>193</v>
      </c>
      <c r="D275" s="11">
        <v>100</v>
      </c>
      <c r="E275" s="27">
        <v>35</v>
      </c>
      <c r="F275" s="7">
        <f t="shared" si="17"/>
        <v>3500</v>
      </c>
      <c r="G275" s="27">
        <f t="shared" si="19"/>
        <v>137.2549019607843</v>
      </c>
    </row>
    <row r="276" spans="1:7" ht="12.75">
      <c r="A276" s="26">
        <v>39256</v>
      </c>
      <c r="B276" s="14" t="s">
        <v>168</v>
      </c>
      <c r="C276" s="10" t="s">
        <v>221</v>
      </c>
      <c r="D276" s="11">
        <v>20</v>
      </c>
      <c r="E276" s="27">
        <v>150</v>
      </c>
      <c r="F276" s="7">
        <f t="shared" si="17"/>
        <v>3000</v>
      </c>
      <c r="G276" s="27">
        <f t="shared" si="19"/>
        <v>117.6470588235294</v>
      </c>
    </row>
    <row r="277" spans="1:7" ht="12.75">
      <c r="A277" s="26">
        <v>39256</v>
      </c>
      <c r="B277" s="14" t="s">
        <v>168</v>
      </c>
      <c r="C277" s="10" t="s">
        <v>43</v>
      </c>
      <c r="D277" s="11">
        <v>30</v>
      </c>
      <c r="E277" s="27">
        <v>300</v>
      </c>
      <c r="F277" s="7">
        <f t="shared" si="17"/>
        <v>9000</v>
      </c>
      <c r="G277" s="27">
        <f t="shared" si="19"/>
        <v>352.94117647058823</v>
      </c>
    </row>
    <row r="278" spans="1:7" ht="12.75">
      <c r="A278" s="26">
        <v>39256</v>
      </c>
      <c r="B278" s="14" t="s">
        <v>168</v>
      </c>
      <c r="C278" s="10" t="s">
        <v>225</v>
      </c>
      <c r="D278" s="11">
        <v>20</v>
      </c>
      <c r="E278" s="27">
        <v>150</v>
      </c>
      <c r="F278" s="7">
        <f t="shared" si="17"/>
        <v>3000</v>
      </c>
      <c r="G278" s="27">
        <f t="shared" si="19"/>
        <v>117.6470588235294</v>
      </c>
    </row>
    <row r="279" spans="1:7" ht="12.75">
      <c r="A279" s="26">
        <v>39256</v>
      </c>
      <c r="B279" s="14" t="s">
        <v>168</v>
      </c>
      <c r="C279" s="10" t="s">
        <v>226</v>
      </c>
      <c r="D279" s="11">
        <v>2</v>
      </c>
      <c r="E279" s="27">
        <v>100</v>
      </c>
      <c r="F279" s="7">
        <f t="shared" si="17"/>
        <v>200</v>
      </c>
      <c r="G279" s="27">
        <f t="shared" si="19"/>
        <v>7.8431372549019605</v>
      </c>
    </row>
    <row r="280" spans="1:7" ht="12.75">
      <c r="A280" s="26">
        <v>39256</v>
      </c>
      <c r="B280" s="14" t="s">
        <v>168</v>
      </c>
      <c r="C280" s="10" t="s">
        <v>193</v>
      </c>
      <c r="D280" s="11">
        <v>100</v>
      </c>
      <c r="E280" s="27">
        <v>30</v>
      </c>
      <c r="F280" s="7">
        <f t="shared" si="17"/>
        <v>3000</v>
      </c>
      <c r="G280" s="27">
        <f t="shared" si="19"/>
        <v>117.6470588235294</v>
      </c>
    </row>
    <row r="281" spans="1:7" ht="12.75">
      <c r="A281" s="26">
        <v>39256</v>
      </c>
      <c r="B281" s="14" t="s">
        <v>168</v>
      </c>
      <c r="C281" s="10" t="s">
        <v>87</v>
      </c>
      <c r="D281" s="11">
        <v>1</v>
      </c>
      <c r="E281" s="27">
        <v>40</v>
      </c>
      <c r="F281" s="7">
        <f t="shared" si="17"/>
        <v>40</v>
      </c>
      <c r="G281" s="27">
        <f t="shared" si="19"/>
        <v>1.5686274509803921</v>
      </c>
    </row>
    <row r="282" spans="1:7" ht="12.75">
      <c r="A282" s="26">
        <v>39256</v>
      </c>
      <c r="B282" s="14" t="s">
        <v>168</v>
      </c>
      <c r="C282" s="10" t="s">
        <v>87</v>
      </c>
      <c r="D282" s="11">
        <v>1</v>
      </c>
      <c r="E282" s="27">
        <v>35</v>
      </c>
      <c r="F282" s="7">
        <f t="shared" si="17"/>
        <v>35</v>
      </c>
      <c r="G282" s="27">
        <f t="shared" si="19"/>
        <v>1.3725490196078431</v>
      </c>
    </row>
    <row r="283" spans="1:7" ht="12.75">
      <c r="A283" s="26">
        <v>39256</v>
      </c>
      <c r="B283" s="14" t="s">
        <v>168</v>
      </c>
      <c r="C283" s="10" t="s">
        <v>26</v>
      </c>
      <c r="D283" s="11">
        <v>3</v>
      </c>
      <c r="E283" s="27">
        <v>30</v>
      </c>
      <c r="F283" s="7">
        <f t="shared" si="17"/>
        <v>90</v>
      </c>
      <c r="G283" s="27">
        <f t="shared" si="19"/>
        <v>3.5294117647058822</v>
      </c>
    </row>
    <row r="284" spans="1:7" ht="12.75">
      <c r="A284" s="26">
        <v>39256</v>
      </c>
      <c r="B284" s="14" t="s">
        <v>168</v>
      </c>
      <c r="C284" s="10" t="s">
        <v>186</v>
      </c>
      <c r="D284" s="11">
        <v>2</v>
      </c>
      <c r="E284" s="27">
        <v>22</v>
      </c>
      <c r="F284" s="7">
        <f t="shared" si="17"/>
        <v>44</v>
      </c>
      <c r="G284" s="27">
        <f t="shared" si="19"/>
        <v>1.7254901960784315</v>
      </c>
    </row>
    <row r="285" spans="1:7" ht="12.75">
      <c r="A285" s="26">
        <v>39256</v>
      </c>
      <c r="B285" s="14" t="s">
        <v>168</v>
      </c>
      <c r="C285" s="10" t="s">
        <v>186</v>
      </c>
      <c r="D285" s="11">
        <v>2</v>
      </c>
      <c r="E285" s="27">
        <v>15</v>
      </c>
      <c r="F285" s="7">
        <f t="shared" si="17"/>
        <v>30</v>
      </c>
      <c r="G285" s="27">
        <f t="shared" si="19"/>
        <v>1.1764705882352942</v>
      </c>
    </row>
    <row r="286" spans="1:7" ht="12.75">
      <c r="A286" s="26">
        <v>39256</v>
      </c>
      <c r="B286" s="14" t="s">
        <v>168</v>
      </c>
      <c r="C286" s="10" t="s">
        <v>95</v>
      </c>
      <c r="D286" s="11">
        <v>1</v>
      </c>
      <c r="E286" s="27">
        <v>4500</v>
      </c>
      <c r="F286" s="7">
        <f t="shared" si="17"/>
        <v>4500</v>
      </c>
      <c r="G286" s="27">
        <f t="shared" si="19"/>
        <v>176.47058823529412</v>
      </c>
    </row>
    <row r="287" spans="1:7" ht="12.75">
      <c r="A287" s="26">
        <v>39258</v>
      </c>
      <c r="B287" s="14" t="s">
        <v>168</v>
      </c>
      <c r="C287" s="10" t="s">
        <v>225</v>
      </c>
      <c r="D287" s="11">
        <v>4</v>
      </c>
      <c r="E287" s="27">
        <v>170</v>
      </c>
      <c r="F287" s="7">
        <f t="shared" si="17"/>
        <v>680</v>
      </c>
      <c r="G287" s="27">
        <f t="shared" si="19"/>
        <v>26.666666666666668</v>
      </c>
    </row>
    <row r="288" spans="1:7" ht="12.75">
      <c r="A288" s="26">
        <v>39258</v>
      </c>
      <c r="B288" s="14" t="s">
        <v>168</v>
      </c>
      <c r="C288" s="10" t="s">
        <v>227</v>
      </c>
      <c r="D288" s="11">
        <v>2</v>
      </c>
      <c r="E288" s="27">
        <v>350</v>
      </c>
      <c r="F288" s="7">
        <f t="shared" si="17"/>
        <v>700</v>
      </c>
      <c r="G288" s="27">
        <f t="shared" si="19"/>
        <v>27.45098039215686</v>
      </c>
    </row>
    <row r="289" spans="1:7" ht="12.75">
      <c r="A289" s="26">
        <v>39258</v>
      </c>
      <c r="B289" s="14" t="s">
        <v>168</v>
      </c>
      <c r="C289" s="10" t="s">
        <v>171</v>
      </c>
      <c r="D289" s="11">
        <v>1</v>
      </c>
      <c r="E289" s="27">
        <v>270</v>
      </c>
      <c r="F289" s="7">
        <f t="shared" si="17"/>
        <v>270</v>
      </c>
      <c r="G289" s="27">
        <f t="shared" si="19"/>
        <v>10.588235294117647</v>
      </c>
    </row>
    <row r="290" spans="1:7" ht="12.75">
      <c r="A290" s="26">
        <v>39258</v>
      </c>
      <c r="B290" s="14" t="s">
        <v>168</v>
      </c>
      <c r="C290" s="10" t="s">
        <v>163</v>
      </c>
      <c r="D290" s="11">
        <v>10</v>
      </c>
      <c r="E290" s="27">
        <v>400</v>
      </c>
      <c r="F290" s="7">
        <f t="shared" si="17"/>
        <v>4000</v>
      </c>
      <c r="G290" s="27">
        <f t="shared" si="19"/>
        <v>156.86274509803923</v>
      </c>
    </row>
    <row r="291" spans="1:7" ht="12.75">
      <c r="A291" s="26">
        <v>39259</v>
      </c>
      <c r="B291" s="14" t="s">
        <v>168</v>
      </c>
      <c r="C291" s="10" t="s">
        <v>225</v>
      </c>
      <c r="D291" s="11">
        <v>5</v>
      </c>
      <c r="E291" s="27">
        <v>170</v>
      </c>
      <c r="F291" s="7">
        <f t="shared" si="17"/>
        <v>850</v>
      </c>
      <c r="G291" s="27">
        <f t="shared" si="19"/>
        <v>33.333333333333336</v>
      </c>
    </row>
    <row r="292" spans="1:7" ht="12.75">
      <c r="A292" s="26">
        <v>39263</v>
      </c>
      <c r="B292" s="14" t="s">
        <v>168</v>
      </c>
      <c r="C292" s="10" t="s">
        <v>77</v>
      </c>
      <c r="D292" s="11">
        <v>0.7</v>
      </c>
      <c r="E292" s="27">
        <v>170</v>
      </c>
      <c r="F292" s="7">
        <f t="shared" si="17"/>
        <v>118.99999999999999</v>
      </c>
      <c r="G292" s="27">
        <f t="shared" si="19"/>
        <v>4.666666666666666</v>
      </c>
    </row>
    <row r="293" spans="1:7" ht="12.75">
      <c r="A293" s="26">
        <v>39266</v>
      </c>
      <c r="B293" s="14" t="s">
        <v>168</v>
      </c>
      <c r="C293" s="10" t="s">
        <v>226</v>
      </c>
      <c r="D293" s="11">
        <v>1</v>
      </c>
      <c r="E293" s="27">
        <v>100</v>
      </c>
      <c r="F293" s="7">
        <f t="shared" si="17"/>
        <v>100</v>
      </c>
      <c r="G293" s="27">
        <f t="shared" si="19"/>
        <v>3.9215686274509802</v>
      </c>
    </row>
    <row r="294" spans="1:7" ht="12.75">
      <c r="A294" s="26">
        <v>39266</v>
      </c>
      <c r="B294" s="14" t="s">
        <v>168</v>
      </c>
      <c r="C294" s="10" t="s">
        <v>144</v>
      </c>
      <c r="D294" s="11">
        <v>3</v>
      </c>
      <c r="E294" s="27">
        <v>130</v>
      </c>
      <c r="F294" s="7">
        <f t="shared" si="17"/>
        <v>390</v>
      </c>
      <c r="G294" s="27">
        <f t="shared" si="19"/>
        <v>15.294117647058824</v>
      </c>
    </row>
    <row r="295" spans="1:7" ht="12.75">
      <c r="A295" s="26">
        <v>39266</v>
      </c>
      <c r="B295" s="14" t="s">
        <v>168</v>
      </c>
      <c r="C295" s="10" t="s">
        <v>228</v>
      </c>
      <c r="D295" s="11">
        <v>2</v>
      </c>
      <c r="E295" s="27">
        <v>25</v>
      </c>
      <c r="F295" s="7">
        <f t="shared" si="17"/>
        <v>50</v>
      </c>
      <c r="G295" s="27">
        <f t="shared" si="19"/>
        <v>1.9607843137254901</v>
      </c>
    </row>
    <row r="296" spans="1:7" ht="12.75">
      <c r="A296" s="26">
        <v>39266</v>
      </c>
      <c r="B296" s="14" t="s">
        <v>168</v>
      </c>
      <c r="C296" s="10" t="s">
        <v>43</v>
      </c>
      <c r="D296" s="11">
        <v>20</v>
      </c>
      <c r="E296" s="27">
        <v>300</v>
      </c>
      <c r="F296" s="7">
        <f t="shared" si="17"/>
        <v>6000</v>
      </c>
      <c r="G296" s="27">
        <f t="shared" si="19"/>
        <v>235.2941176470588</v>
      </c>
    </row>
    <row r="297" spans="1:7" ht="12.75">
      <c r="A297" s="26">
        <v>39266</v>
      </c>
      <c r="B297" s="14" t="s">
        <v>168</v>
      </c>
      <c r="C297" s="10" t="s">
        <v>193</v>
      </c>
      <c r="D297" s="11">
        <v>70</v>
      </c>
      <c r="E297" s="27">
        <v>35</v>
      </c>
      <c r="F297" s="7">
        <f t="shared" si="17"/>
        <v>2450</v>
      </c>
      <c r="G297" s="27">
        <f t="shared" si="19"/>
        <v>96.07843137254902</v>
      </c>
    </row>
    <row r="298" spans="1:7" ht="12.75">
      <c r="A298" s="26">
        <v>39266</v>
      </c>
      <c r="B298" s="14" t="s">
        <v>168</v>
      </c>
      <c r="C298" s="10" t="s">
        <v>193</v>
      </c>
      <c r="D298" s="11">
        <v>50</v>
      </c>
      <c r="E298" s="27">
        <v>30</v>
      </c>
      <c r="F298" s="7">
        <f t="shared" si="17"/>
        <v>1500</v>
      </c>
      <c r="G298" s="27">
        <f t="shared" si="19"/>
        <v>58.8235294117647</v>
      </c>
    </row>
    <row r="299" spans="1:7" ht="12.75">
      <c r="A299" s="26">
        <v>39266</v>
      </c>
      <c r="B299" s="14" t="s">
        <v>168</v>
      </c>
      <c r="C299" s="10" t="s">
        <v>229</v>
      </c>
      <c r="D299" s="11">
        <v>1</v>
      </c>
      <c r="E299" s="27">
        <v>130</v>
      </c>
      <c r="F299" s="7">
        <f t="shared" si="17"/>
        <v>130</v>
      </c>
      <c r="G299" s="27">
        <f t="shared" si="19"/>
        <v>5.098039215686274</v>
      </c>
    </row>
    <row r="300" spans="1:7" ht="12.75">
      <c r="A300" s="26">
        <v>39266</v>
      </c>
      <c r="B300" s="14" t="s">
        <v>168</v>
      </c>
      <c r="C300" s="10" t="s">
        <v>87</v>
      </c>
      <c r="D300" s="11">
        <v>2</v>
      </c>
      <c r="E300" s="27">
        <v>40</v>
      </c>
      <c r="F300" s="7">
        <f t="shared" si="17"/>
        <v>80</v>
      </c>
      <c r="G300" s="27">
        <f t="shared" si="19"/>
        <v>3.1372549019607843</v>
      </c>
    </row>
    <row r="301" spans="1:7" ht="12.75">
      <c r="A301" s="26">
        <v>39273</v>
      </c>
      <c r="B301" s="14" t="s">
        <v>168</v>
      </c>
      <c r="C301" s="10" t="s">
        <v>95</v>
      </c>
      <c r="D301" s="11">
        <v>1</v>
      </c>
      <c r="E301" s="27">
        <v>4500</v>
      </c>
      <c r="F301" s="7">
        <f t="shared" si="17"/>
        <v>4500</v>
      </c>
      <c r="G301" s="27">
        <f t="shared" si="19"/>
        <v>176.47058823529412</v>
      </c>
    </row>
    <row r="302" spans="1:7" ht="12.75">
      <c r="A302" s="26">
        <v>39293</v>
      </c>
      <c r="B302" s="14" t="s">
        <v>232</v>
      </c>
      <c r="C302" s="10" t="s">
        <v>233</v>
      </c>
      <c r="D302" s="11">
        <v>2</v>
      </c>
      <c r="E302" s="27">
        <v>26000</v>
      </c>
      <c r="F302" s="7">
        <f t="shared" si="17"/>
        <v>52000</v>
      </c>
      <c r="G302" s="27">
        <f t="shared" si="19"/>
        <v>2039.2156862745098</v>
      </c>
    </row>
    <row r="303" spans="1:7" ht="12.75">
      <c r="A303" s="26">
        <v>39294</v>
      </c>
      <c r="B303" s="14" t="s">
        <v>234</v>
      </c>
      <c r="C303" s="10" t="s">
        <v>235</v>
      </c>
      <c r="D303" s="11">
        <v>1000</v>
      </c>
      <c r="E303" s="27">
        <f>18.31*1.18</f>
        <v>21.6058</v>
      </c>
      <c r="F303" s="7">
        <f>E303*D303</f>
        <v>21605.8</v>
      </c>
      <c r="G303" s="27">
        <f t="shared" si="19"/>
        <v>847.2862745098039</v>
      </c>
    </row>
    <row r="304" spans="1:7" ht="12.75">
      <c r="A304" s="26">
        <v>39294</v>
      </c>
      <c r="B304" s="14" t="s">
        <v>234</v>
      </c>
      <c r="C304" s="10" t="s">
        <v>236</v>
      </c>
      <c r="D304" s="11">
        <v>100</v>
      </c>
      <c r="E304" s="27">
        <f>49.71*1.18</f>
        <v>58.657799999999995</v>
      </c>
      <c r="F304" s="7">
        <f>E304*D304</f>
        <v>5865.78</v>
      </c>
      <c r="G304" s="27">
        <f t="shared" si="19"/>
        <v>230.03058823529412</v>
      </c>
    </row>
    <row r="305" spans="1:7" ht="12.75">
      <c r="A305" s="26">
        <v>39294</v>
      </c>
      <c r="B305" s="14" t="s">
        <v>234</v>
      </c>
      <c r="C305" s="10" t="s">
        <v>237</v>
      </c>
      <c r="D305" s="11">
        <v>800</v>
      </c>
      <c r="E305" s="27">
        <f>2.48*1.18</f>
        <v>2.9263999999999997</v>
      </c>
      <c r="F305" s="7">
        <f>E305*D305</f>
        <v>2341.12</v>
      </c>
      <c r="G305" s="27">
        <f t="shared" si="19"/>
        <v>91.80862745098038</v>
      </c>
    </row>
    <row r="306" spans="1:7" ht="12.75">
      <c r="A306" s="26">
        <v>39294</v>
      </c>
      <c r="B306" s="14" t="s">
        <v>234</v>
      </c>
      <c r="C306" s="10" t="s">
        <v>238</v>
      </c>
      <c r="D306" s="11">
        <v>200</v>
      </c>
      <c r="E306" s="28">
        <f>3.11*1.18</f>
        <v>3.6697999999999995</v>
      </c>
      <c r="F306" s="7">
        <f>E306*D306</f>
        <v>733.9599999999999</v>
      </c>
      <c r="G306" s="27">
        <f t="shared" si="19"/>
        <v>28.782745098039214</v>
      </c>
    </row>
    <row r="307" spans="1:7" ht="12.75">
      <c r="A307" s="26">
        <v>39294</v>
      </c>
      <c r="B307" s="14" t="s">
        <v>234</v>
      </c>
      <c r="C307" s="10" t="s">
        <v>239</v>
      </c>
      <c r="D307" s="11">
        <v>1</v>
      </c>
      <c r="E307" s="27">
        <v>700</v>
      </c>
      <c r="F307" s="7">
        <f aca="true" t="shared" si="20" ref="F307:F323">E307*D307</f>
        <v>700</v>
      </c>
      <c r="G307" s="27">
        <f t="shared" si="19"/>
        <v>27.45098039215686</v>
      </c>
    </row>
    <row r="308" spans="1:7" ht="12.75">
      <c r="A308" s="26">
        <v>39294</v>
      </c>
      <c r="B308" s="14" t="s">
        <v>234</v>
      </c>
      <c r="C308" s="10" t="s">
        <v>172</v>
      </c>
      <c r="D308" s="11">
        <v>1</v>
      </c>
      <c r="E308" s="27">
        <v>50</v>
      </c>
      <c r="F308" s="7">
        <f t="shared" si="20"/>
        <v>50</v>
      </c>
      <c r="G308" s="27">
        <f t="shared" si="19"/>
        <v>1.9607843137254901</v>
      </c>
    </row>
    <row r="309" spans="1:7" ht="12.75">
      <c r="A309" s="26">
        <v>39294</v>
      </c>
      <c r="B309" s="14" t="s">
        <v>234</v>
      </c>
      <c r="C309" s="10" t="s">
        <v>149</v>
      </c>
      <c r="D309" s="11">
        <v>1</v>
      </c>
      <c r="E309" s="27">
        <v>200</v>
      </c>
      <c r="F309" s="7">
        <f t="shared" si="20"/>
        <v>200</v>
      </c>
      <c r="G309" s="27">
        <f t="shared" si="19"/>
        <v>7.8431372549019605</v>
      </c>
    </row>
    <row r="310" spans="1:7" ht="12.75">
      <c r="A310" s="26">
        <v>39294</v>
      </c>
      <c r="B310" s="14" t="s">
        <v>234</v>
      </c>
      <c r="C310" s="10" t="s">
        <v>240</v>
      </c>
      <c r="D310" s="11">
        <v>1</v>
      </c>
      <c r="E310" s="27">
        <v>350</v>
      </c>
      <c r="F310" s="7">
        <f t="shared" si="20"/>
        <v>350</v>
      </c>
      <c r="G310" s="27">
        <f t="shared" si="19"/>
        <v>13.72549019607843</v>
      </c>
    </row>
    <row r="311" spans="1:7" ht="12.75">
      <c r="A311" s="26">
        <v>39294</v>
      </c>
      <c r="B311" s="14" t="s">
        <v>234</v>
      </c>
      <c r="C311" s="10" t="s">
        <v>241</v>
      </c>
      <c r="D311" s="11">
        <v>170</v>
      </c>
      <c r="E311" s="27">
        <v>15</v>
      </c>
      <c r="F311" s="7">
        <f t="shared" si="20"/>
        <v>2550</v>
      </c>
      <c r="G311" s="27">
        <f t="shared" si="19"/>
        <v>100</v>
      </c>
    </row>
    <row r="312" spans="1:7" ht="12.75">
      <c r="A312" s="26">
        <v>39294</v>
      </c>
      <c r="B312" s="14" t="s">
        <v>234</v>
      </c>
      <c r="C312" s="10" t="s">
        <v>242</v>
      </c>
      <c r="D312" s="11">
        <v>1</v>
      </c>
      <c r="E312" s="27">
        <v>20</v>
      </c>
      <c r="F312" s="7">
        <f t="shared" si="20"/>
        <v>20</v>
      </c>
      <c r="G312" s="27">
        <f t="shared" si="19"/>
        <v>0.7843137254901961</v>
      </c>
    </row>
    <row r="313" spans="1:7" ht="12.75">
      <c r="A313" s="26">
        <v>39294</v>
      </c>
      <c r="B313" s="14" t="s">
        <v>234</v>
      </c>
      <c r="C313" s="10" t="s">
        <v>243</v>
      </c>
      <c r="D313" s="11">
        <v>1</v>
      </c>
      <c r="E313" s="27">
        <v>20645</v>
      </c>
      <c r="F313" s="7">
        <f t="shared" si="20"/>
        <v>20645</v>
      </c>
      <c r="G313" s="27">
        <f t="shared" si="19"/>
        <v>809.6078431372549</v>
      </c>
    </row>
    <row r="314" spans="1:7" ht="12.75">
      <c r="A314" s="26">
        <v>39294</v>
      </c>
      <c r="B314" s="14" t="s">
        <v>234</v>
      </c>
      <c r="C314" s="10" t="s">
        <v>244</v>
      </c>
      <c r="D314" s="11">
        <v>1</v>
      </c>
      <c r="E314" s="27">
        <v>600</v>
      </c>
      <c r="F314" s="7">
        <f t="shared" si="20"/>
        <v>600</v>
      </c>
      <c r="G314" s="27">
        <f t="shared" si="19"/>
        <v>23.529411764705884</v>
      </c>
    </row>
    <row r="315" spans="1:7" ht="12.75">
      <c r="A315" s="26">
        <v>39294</v>
      </c>
      <c r="B315" s="14" t="s">
        <v>234</v>
      </c>
      <c r="C315" s="10" t="s">
        <v>245</v>
      </c>
      <c r="D315" s="11">
        <v>1</v>
      </c>
      <c r="E315" s="27">
        <v>800</v>
      </c>
      <c r="F315" s="7">
        <f t="shared" si="20"/>
        <v>800</v>
      </c>
      <c r="G315" s="27">
        <f t="shared" si="19"/>
        <v>31.372549019607842</v>
      </c>
    </row>
    <row r="316" spans="1:7" ht="12.75">
      <c r="A316" s="26">
        <v>39301</v>
      </c>
      <c r="B316" s="14" t="s">
        <v>168</v>
      </c>
      <c r="C316" s="10" t="s">
        <v>221</v>
      </c>
      <c r="D316" s="11">
        <v>5</v>
      </c>
      <c r="E316" s="27">
        <v>130</v>
      </c>
      <c r="F316" s="7">
        <f t="shared" si="20"/>
        <v>650</v>
      </c>
      <c r="G316" s="27">
        <f t="shared" si="19"/>
        <v>25.49019607843137</v>
      </c>
    </row>
    <row r="317" spans="1:7" ht="12.75">
      <c r="A317" s="26">
        <v>39301</v>
      </c>
      <c r="B317" s="14" t="s">
        <v>168</v>
      </c>
      <c r="C317" s="10" t="s">
        <v>226</v>
      </c>
      <c r="D317" s="11">
        <v>2</v>
      </c>
      <c r="E317" s="27">
        <v>140</v>
      </c>
      <c r="F317" s="7">
        <f t="shared" si="20"/>
        <v>280</v>
      </c>
      <c r="G317" s="27">
        <f t="shared" si="19"/>
        <v>10.980392156862745</v>
      </c>
    </row>
    <row r="318" spans="1:7" ht="12.75">
      <c r="A318" s="26">
        <v>39302</v>
      </c>
      <c r="B318" s="14" t="s">
        <v>168</v>
      </c>
      <c r="C318" s="10" t="s">
        <v>248</v>
      </c>
      <c r="D318" s="11">
        <v>1</v>
      </c>
      <c r="E318" s="27">
        <v>300</v>
      </c>
      <c r="F318" s="7">
        <f t="shared" si="20"/>
        <v>300</v>
      </c>
      <c r="G318" s="27">
        <f t="shared" si="19"/>
        <v>11.764705882352942</v>
      </c>
    </row>
    <row r="319" spans="1:7" ht="12.75">
      <c r="A319" s="26">
        <v>39302</v>
      </c>
      <c r="B319" s="14" t="s">
        <v>168</v>
      </c>
      <c r="C319" s="10" t="s">
        <v>43</v>
      </c>
      <c r="D319" s="11">
        <v>5</v>
      </c>
      <c r="E319" s="27">
        <v>330</v>
      </c>
      <c r="F319" s="7">
        <f t="shared" si="20"/>
        <v>1650</v>
      </c>
      <c r="G319" s="27">
        <f t="shared" si="19"/>
        <v>64.70588235294117</v>
      </c>
    </row>
    <row r="320" spans="1:7" ht="12.75">
      <c r="A320" s="26">
        <v>39302</v>
      </c>
      <c r="B320" s="14" t="s">
        <v>168</v>
      </c>
      <c r="C320" s="10" t="s">
        <v>193</v>
      </c>
      <c r="D320" s="11">
        <v>12</v>
      </c>
      <c r="E320" s="27">
        <v>35</v>
      </c>
      <c r="F320" s="7">
        <f t="shared" si="20"/>
        <v>420</v>
      </c>
      <c r="G320" s="27">
        <f t="shared" si="19"/>
        <v>16.470588235294116</v>
      </c>
    </row>
    <row r="321" spans="1:7" ht="12.75">
      <c r="A321" s="26">
        <v>39303</v>
      </c>
      <c r="B321" s="14" t="s">
        <v>168</v>
      </c>
      <c r="C321" s="10" t="s">
        <v>43</v>
      </c>
      <c r="D321" s="11">
        <v>10</v>
      </c>
      <c r="E321" s="27">
        <v>330</v>
      </c>
      <c r="F321" s="7">
        <f t="shared" si="20"/>
        <v>3300</v>
      </c>
      <c r="G321" s="27">
        <f t="shared" si="19"/>
        <v>129.41176470588235</v>
      </c>
    </row>
    <row r="322" spans="1:7" ht="12.75">
      <c r="A322" s="26">
        <v>39303</v>
      </c>
      <c r="B322" s="14" t="s">
        <v>168</v>
      </c>
      <c r="C322" s="10" t="s">
        <v>221</v>
      </c>
      <c r="D322" s="11">
        <v>10</v>
      </c>
      <c r="E322" s="27">
        <v>135</v>
      </c>
      <c r="F322" s="7">
        <f t="shared" si="20"/>
        <v>1350</v>
      </c>
      <c r="G322" s="27">
        <f t="shared" si="19"/>
        <v>52.94117647058823</v>
      </c>
    </row>
    <row r="323" spans="1:7" ht="12.75">
      <c r="A323" s="26">
        <v>39304</v>
      </c>
      <c r="B323" s="14" t="s">
        <v>168</v>
      </c>
      <c r="C323" s="10" t="s">
        <v>26</v>
      </c>
      <c r="D323" s="11">
        <v>4</v>
      </c>
      <c r="E323" s="27">
        <v>25</v>
      </c>
      <c r="F323" s="7">
        <f t="shared" si="20"/>
        <v>100</v>
      </c>
      <c r="G323" s="27">
        <f t="shared" si="19"/>
        <v>3.9215686274509802</v>
      </c>
    </row>
    <row r="324" spans="1:7" ht="12.75">
      <c r="A324" s="26">
        <v>39304</v>
      </c>
      <c r="B324" s="14" t="s">
        <v>168</v>
      </c>
      <c r="C324" s="10" t="s">
        <v>221</v>
      </c>
      <c r="D324" s="11">
        <v>10</v>
      </c>
      <c r="E324" s="27">
        <v>140</v>
      </c>
      <c r="F324" s="7">
        <f aca="true" t="shared" si="21" ref="F324:F372">E324*D324</f>
        <v>1400</v>
      </c>
      <c r="G324" s="27">
        <f t="shared" si="19"/>
        <v>54.90196078431372</v>
      </c>
    </row>
    <row r="325" spans="1:7" ht="12.75">
      <c r="A325" s="26">
        <v>39310</v>
      </c>
      <c r="B325" s="14" t="s">
        <v>168</v>
      </c>
      <c r="C325" s="10" t="s">
        <v>221</v>
      </c>
      <c r="D325" s="11">
        <v>10</v>
      </c>
      <c r="E325" s="27">
        <v>140</v>
      </c>
      <c r="F325" s="7">
        <f t="shared" si="21"/>
        <v>1400</v>
      </c>
      <c r="G325" s="27">
        <f t="shared" si="19"/>
        <v>54.90196078431372</v>
      </c>
    </row>
    <row r="326" spans="1:7" ht="12.75">
      <c r="A326" s="26">
        <v>39310</v>
      </c>
      <c r="B326" s="14" t="s">
        <v>168</v>
      </c>
      <c r="C326" s="10" t="s">
        <v>43</v>
      </c>
      <c r="D326" s="11">
        <v>13</v>
      </c>
      <c r="E326" s="27">
        <v>310</v>
      </c>
      <c r="F326" s="7">
        <f t="shared" si="21"/>
        <v>4030</v>
      </c>
      <c r="G326" s="27">
        <f t="shared" si="19"/>
        <v>158.0392156862745</v>
      </c>
    </row>
    <row r="327" spans="1:7" ht="12.75">
      <c r="A327" s="26">
        <v>39314</v>
      </c>
      <c r="B327" s="14" t="s">
        <v>168</v>
      </c>
      <c r="C327" s="10" t="s">
        <v>249</v>
      </c>
      <c r="D327" s="11">
        <v>4</v>
      </c>
      <c r="E327" s="27">
        <v>270</v>
      </c>
      <c r="F327" s="7">
        <f t="shared" si="21"/>
        <v>1080</v>
      </c>
      <c r="G327" s="27">
        <f t="shared" si="19"/>
        <v>42.35294117647059</v>
      </c>
    </row>
    <row r="328" spans="1:7" ht="12.75">
      <c r="A328" s="26">
        <v>39314</v>
      </c>
      <c r="B328" s="14" t="s">
        <v>168</v>
      </c>
      <c r="C328" s="10" t="s">
        <v>226</v>
      </c>
      <c r="D328" s="11">
        <v>2</v>
      </c>
      <c r="E328" s="27">
        <v>140</v>
      </c>
      <c r="F328" s="7">
        <f t="shared" si="21"/>
        <v>280</v>
      </c>
      <c r="G328" s="27">
        <f t="shared" si="19"/>
        <v>10.980392156862745</v>
      </c>
    </row>
    <row r="329" spans="1:7" ht="12.75">
      <c r="A329" s="26">
        <v>39318</v>
      </c>
      <c r="B329" s="14" t="s">
        <v>168</v>
      </c>
      <c r="C329" s="10" t="s">
        <v>248</v>
      </c>
      <c r="D329" s="11">
        <v>2</v>
      </c>
      <c r="E329" s="27">
        <v>270</v>
      </c>
      <c r="F329" s="7">
        <f t="shared" si="21"/>
        <v>540</v>
      </c>
      <c r="G329" s="27">
        <f t="shared" si="19"/>
        <v>21.176470588235293</v>
      </c>
    </row>
    <row r="330" spans="1:7" ht="12.75">
      <c r="A330" s="26">
        <v>39318</v>
      </c>
      <c r="B330" s="14" t="s">
        <v>168</v>
      </c>
      <c r="C330" s="10" t="s">
        <v>43</v>
      </c>
      <c r="D330" s="11">
        <v>1</v>
      </c>
      <c r="E330" s="27">
        <v>310</v>
      </c>
      <c r="F330" s="7">
        <f t="shared" si="21"/>
        <v>310</v>
      </c>
      <c r="G330" s="27">
        <f t="shared" si="19"/>
        <v>12.156862745098039</v>
      </c>
    </row>
    <row r="331" spans="1:7" ht="12.75">
      <c r="A331" s="26">
        <v>39321</v>
      </c>
      <c r="B331" s="14" t="s">
        <v>168</v>
      </c>
      <c r="C331" s="10" t="s">
        <v>43</v>
      </c>
      <c r="D331" s="11">
        <v>5</v>
      </c>
      <c r="E331" s="27">
        <v>310</v>
      </c>
      <c r="F331" s="7">
        <f t="shared" si="21"/>
        <v>1550</v>
      </c>
      <c r="G331" s="27">
        <f t="shared" si="19"/>
        <v>60.78431372549019</v>
      </c>
    </row>
    <row r="332" spans="1:7" ht="12.75">
      <c r="A332" s="26">
        <v>39321</v>
      </c>
      <c r="B332" s="14" t="s">
        <v>168</v>
      </c>
      <c r="C332" s="10" t="s">
        <v>221</v>
      </c>
      <c r="D332" s="11">
        <v>4</v>
      </c>
      <c r="E332" s="27">
        <v>130</v>
      </c>
      <c r="F332" s="7">
        <f t="shared" si="21"/>
        <v>520</v>
      </c>
      <c r="G332" s="27">
        <f t="shared" si="19"/>
        <v>20.392156862745097</v>
      </c>
    </row>
    <row r="333" spans="1:7" ht="12.75">
      <c r="A333" s="26">
        <v>39321</v>
      </c>
      <c r="B333" s="14" t="s">
        <v>168</v>
      </c>
      <c r="C333" s="10" t="s">
        <v>249</v>
      </c>
      <c r="D333" s="11">
        <v>1</v>
      </c>
      <c r="E333" s="27">
        <v>270</v>
      </c>
      <c r="F333" s="7">
        <f t="shared" si="21"/>
        <v>270</v>
      </c>
      <c r="G333" s="27">
        <f t="shared" si="19"/>
        <v>10.588235294117647</v>
      </c>
    </row>
    <row r="334" spans="1:7" ht="12.75">
      <c r="A334" s="26">
        <v>39321</v>
      </c>
      <c r="B334" s="14" t="s">
        <v>168</v>
      </c>
      <c r="C334" s="10" t="s">
        <v>226</v>
      </c>
      <c r="D334" s="11">
        <v>2</v>
      </c>
      <c r="E334" s="27">
        <v>130</v>
      </c>
      <c r="F334" s="7">
        <f t="shared" si="21"/>
        <v>260</v>
      </c>
      <c r="G334" s="27">
        <f t="shared" si="19"/>
        <v>10.196078431372548</v>
      </c>
    </row>
    <row r="335" spans="1:7" ht="12.75">
      <c r="A335" s="26">
        <v>39321</v>
      </c>
      <c r="B335" s="14" t="s">
        <v>168</v>
      </c>
      <c r="C335" s="10" t="s">
        <v>221</v>
      </c>
      <c r="D335" s="11">
        <v>1</v>
      </c>
      <c r="E335" s="27">
        <v>120</v>
      </c>
      <c r="F335" s="7">
        <f t="shared" si="21"/>
        <v>120</v>
      </c>
      <c r="G335" s="27">
        <f t="shared" si="19"/>
        <v>4.705882352941177</v>
      </c>
    </row>
    <row r="336" spans="1:7" ht="12.75">
      <c r="A336" s="26">
        <v>39324</v>
      </c>
      <c r="B336" s="14" t="s">
        <v>168</v>
      </c>
      <c r="C336" s="10" t="s">
        <v>249</v>
      </c>
      <c r="D336" s="11">
        <v>2</v>
      </c>
      <c r="E336" s="27">
        <v>260</v>
      </c>
      <c r="F336" s="7">
        <f t="shared" si="21"/>
        <v>520</v>
      </c>
      <c r="G336" s="27">
        <f t="shared" si="19"/>
        <v>20.392156862745097</v>
      </c>
    </row>
    <row r="337" spans="1:7" ht="12.75">
      <c r="A337" s="26">
        <v>39380</v>
      </c>
      <c r="B337" s="14" t="s">
        <v>122</v>
      </c>
      <c r="C337" s="10" t="s">
        <v>253</v>
      </c>
      <c r="D337" s="11">
        <v>3</v>
      </c>
      <c r="E337" s="27">
        <v>5850</v>
      </c>
      <c r="F337" s="7">
        <f t="shared" si="21"/>
        <v>17550</v>
      </c>
      <c r="G337" s="27">
        <f>F337/24.7</f>
        <v>710.5263157894738</v>
      </c>
    </row>
    <row r="338" spans="1:7" ht="12.75">
      <c r="A338" s="26">
        <v>39381</v>
      </c>
      <c r="B338" s="14" t="s">
        <v>122</v>
      </c>
      <c r="C338" s="10" t="s">
        <v>87</v>
      </c>
      <c r="D338" s="11">
        <v>10</v>
      </c>
      <c r="E338" s="27">
        <v>45</v>
      </c>
      <c r="F338" s="7">
        <f t="shared" si="21"/>
        <v>450</v>
      </c>
      <c r="G338" s="27">
        <f>F338/24.7</f>
        <v>18.21862348178138</v>
      </c>
    </row>
    <row r="339" spans="1:7" ht="12.75">
      <c r="A339" s="26">
        <v>39375</v>
      </c>
      <c r="B339" s="14" t="s">
        <v>122</v>
      </c>
      <c r="C339" s="10" t="s">
        <v>254</v>
      </c>
      <c r="D339" s="11">
        <v>1</v>
      </c>
      <c r="E339" s="27">
        <v>2150</v>
      </c>
      <c r="F339" s="7">
        <f t="shared" si="21"/>
        <v>2150</v>
      </c>
      <c r="G339" s="27">
        <f>F339/24.7</f>
        <v>87.04453441295547</v>
      </c>
    </row>
    <row r="340" spans="1:7" ht="12.75">
      <c r="A340" s="26">
        <v>39545</v>
      </c>
      <c r="B340" s="14" t="s">
        <v>413</v>
      </c>
      <c r="C340" s="10" t="s">
        <v>414</v>
      </c>
      <c r="D340" s="11">
        <v>20</v>
      </c>
      <c r="E340" s="27">
        <v>60</v>
      </c>
      <c r="F340" s="7">
        <f t="shared" si="21"/>
        <v>1200</v>
      </c>
      <c r="G340" s="27">
        <f>F340/23.5</f>
        <v>51.06382978723404</v>
      </c>
    </row>
    <row r="341" spans="1:7" ht="12.75">
      <c r="A341" s="26">
        <v>39545</v>
      </c>
      <c r="B341" s="14" t="s">
        <v>413</v>
      </c>
      <c r="C341" s="10" t="s">
        <v>43</v>
      </c>
      <c r="D341" s="11">
        <v>20</v>
      </c>
      <c r="E341" s="27">
        <v>330</v>
      </c>
      <c r="F341" s="7">
        <f t="shared" si="21"/>
        <v>6600</v>
      </c>
      <c r="G341" s="27">
        <f aca="true" t="shared" si="22" ref="G341:G357">F341/23.5</f>
        <v>280.8510638297872</v>
      </c>
    </row>
    <row r="342" spans="1:7" ht="12.75">
      <c r="A342" s="26">
        <v>39545</v>
      </c>
      <c r="B342" s="14" t="s">
        <v>413</v>
      </c>
      <c r="C342" s="10" t="s">
        <v>415</v>
      </c>
      <c r="D342" s="11">
        <v>100</v>
      </c>
      <c r="E342" s="27">
        <v>105</v>
      </c>
      <c r="F342" s="7">
        <f t="shared" si="21"/>
        <v>10500</v>
      </c>
      <c r="G342" s="27">
        <f t="shared" si="22"/>
        <v>446.8085106382979</v>
      </c>
    </row>
    <row r="343" spans="1:7" ht="12.75">
      <c r="A343" s="26">
        <v>39547</v>
      </c>
      <c r="B343" s="14" t="s">
        <v>413</v>
      </c>
      <c r="C343" s="10" t="s">
        <v>43</v>
      </c>
      <c r="D343" s="11">
        <v>40</v>
      </c>
      <c r="E343" s="27">
        <v>320</v>
      </c>
      <c r="F343" s="7">
        <f t="shared" si="21"/>
        <v>12800</v>
      </c>
      <c r="G343" s="27">
        <f t="shared" si="22"/>
        <v>544.6808510638298</v>
      </c>
    </row>
    <row r="344" spans="1:7" ht="12.75">
      <c r="A344" s="26">
        <v>39547</v>
      </c>
      <c r="B344" s="14" t="s">
        <v>413</v>
      </c>
      <c r="C344" s="10" t="s">
        <v>415</v>
      </c>
      <c r="D344" s="11">
        <v>100</v>
      </c>
      <c r="E344" s="27">
        <v>105</v>
      </c>
      <c r="F344" s="7">
        <f t="shared" si="21"/>
        <v>10500</v>
      </c>
      <c r="G344" s="27">
        <f t="shared" si="22"/>
        <v>446.8085106382979</v>
      </c>
    </row>
    <row r="345" spans="1:7" ht="12.75">
      <c r="A345" s="26">
        <v>39547</v>
      </c>
      <c r="B345" s="14" t="s">
        <v>413</v>
      </c>
      <c r="C345" s="10" t="s">
        <v>95</v>
      </c>
      <c r="D345" s="11">
        <v>1</v>
      </c>
      <c r="E345" s="27">
        <v>6000</v>
      </c>
      <c r="F345" s="7">
        <f t="shared" si="21"/>
        <v>6000</v>
      </c>
      <c r="G345" s="27">
        <f t="shared" si="22"/>
        <v>255.31914893617022</v>
      </c>
    </row>
    <row r="346" spans="1:7" ht="12.75">
      <c r="A346" s="26">
        <v>39548</v>
      </c>
      <c r="B346" s="14" t="s">
        <v>413</v>
      </c>
      <c r="C346" s="10" t="s">
        <v>26</v>
      </c>
      <c r="D346" s="11">
        <v>10</v>
      </c>
      <c r="E346" s="27">
        <v>15</v>
      </c>
      <c r="F346" s="7">
        <f t="shared" si="21"/>
        <v>150</v>
      </c>
      <c r="G346" s="27">
        <f t="shared" si="22"/>
        <v>6.382978723404255</v>
      </c>
    </row>
    <row r="347" spans="1:7" ht="12.75">
      <c r="A347" s="26">
        <v>39550</v>
      </c>
      <c r="B347" s="14" t="s">
        <v>413</v>
      </c>
      <c r="C347" s="10" t="s">
        <v>43</v>
      </c>
      <c r="D347" s="11">
        <v>20</v>
      </c>
      <c r="E347" s="27">
        <v>330</v>
      </c>
      <c r="F347" s="7">
        <f t="shared" si="21"/>
        <v>6600</v>
      </c>
      <c r="G347" s="27">
        <f t="shared" si="22"/>
        <v>280.8510638297872</v>
      </c>
    </row>
    <row r="348" spans="1:7" ht="12.75">
      <c r="A348" s="26">
        <v>39550</v>
      </c>
      <c r="B348" s="14" t="s">
        <v>413</v>
      </c>
      <c r="C348" s="10" t="s">
        <v>415</v>
      </c>
      <c r="D348" s="11">
        <v>100</v>
      </c>
      <c r="E348" s="27">
        <v>105</v>
      </c>
      <c r="F348" s="7">
        <f t="shared" si="21"/>
        <v>10500</v>
      </c>
      <c r="G348" s="27">
        <f t="shared" si="22"/>
        <v>446.8085106382979</v>
      </c>
    </row>
    <row r="349" spans="1:7" ht="12.75">
      <c r="A349" s="26">
        <v>39552</v>
      </c>
      <c r="B349" s="14" t="s">
        <v>413</v>
      </c>
      <c r="C349" s="10" t="s">
        <v>95</v>
      </c>
      <c r="D349" s="11">
        <v>1</v>
      </c>
      <c r="E349" s="27">
        <v>6000</v>
      </c>
      <c r="F349" s="7">
        <f t="shared" si="21"/>
        <v>6000</v>
      </c>
      <c r="G349" s="27">
        <f t="shared" si="22"/>
        <v>255.31914893617022</v>
      </c>
    </row>
    <row r="350" spans="1:7" ht="12.75">
      <c r="A350" s="26">
        <v>39554</v>
      </c>
      <c r="B350" s="14" t="s">
        <v>413</v>
      </c>
      <c r="C350" s="10" t="s">
        <v>415</v>
      </c>
      <c r="D350" s="11">
        <v>100</v>
      </c>
      <c r="E350" s="27">
        <v>110</v>
      </c>
      <c r="F350" s="7">
        <f t="shared" si="21"/>
        <v>11000</v>
      </c>
      <c r="G350" s="27">
        <f t="shared" si="22"/>
        <v>468.0851063829787</v>
      </c>
    </row>
    <row r="351" spans="1:7" ht="12.75">
      <c r="A351" s="26">
        <v>39554</v>
      </c>
      <c r="B351" s="14" t="s">
        <v>413</v>
      </c>
      <c r="C351" s="10" t="s">
        <v>43</v>
      </c>
      <c r="D351" s="11">
        <v>20</v>
      </c>
      <c r="E351" s="27">
        <v>330</v>
      </c>
      <c r="F351" s="7">
        <f t="shared" si="21"/>
        <v>6600</v>
      </c>
      <c r="G351" s="27">
        <f t="shared" si="22"/>
        <v>280.8510638297872</v>
      </c>
    </row>
    <row r="352" spans="1:7" ht="12.75">
      <c r="A352" s="26">
        <v>39555</v>
      </c>
      <c r="B352" s="14" t="s">
        <v>413</v>
      </c>
      <c r="C352" s="10" t="s">
        <v>415</v>
      </c>
      <c r="D352" s="11">
        <v>37</v>
      </c>
      <c r="E352" s="27">
        <v>110</v>
      </c>
      <c r="F352" s="7">
        <f t="shared" si="21"/>
        <v>4070</v>
      </c>
      <c r="G352" s="27">
        <f t="shared" si="22"/>
        <v>173.19148936170214</v>
      </c>
    </row>
    <row r="353" spans="1:7" ht="12.75">
      <c r="A353" s="26">
        <v>39555</v>
      </c>
      <c r="B353" s="14" t="s">
        <v>413</v>
      </c>
      <c r="C353" s="10" t="s">
        <v>43</v>
      </c>
      <c r="D353" s="11">
        <v>20</v>
      </c>
      <c r="E353" s="27">
        <v>320</v>
      </c>
      <c r="F353" s="7">
        <f t="shared" si="21"/>
        <v>6400</v>
      </c>
      <c r="G353" s="27">
        <f t="shared" si="22"/>
        <v>272.3404255319149</v>
      </c>
    </row>
    <row r="354" spans="1:7" ht="12.75">
      <c r="A354" s="26">
        <v>39556</v>
      </c>
      <c r="B354" s="14" t="s">
        <v>413</v>
      </c>
      <c r="C354" s="10" t="s">
        <v>415</v>
      </c>
      <c r="D354" s="11">
        <v>100</v>
      </c>
      <c r="E354" s="27">
        <v>105</v>
      </c>
      <c r="F354" s="7">
        <f t="shared" si="21"/>
        <v>10500</v>
      </c>
      <c r="G354" s="27">
        <f t="shared" si="22"/>
        <v>446.8085106382979</v>
      </c>
    </row>
    <row r="355" spans="1:7" ht="12.75">
      <c r="A355" s="26">
        <v>39556</v>
      </c>
      <c r="B355" s="14" t="s">
        <v>413</v>
      </c>
      <c r="C355" s="10" t="s">
        <v>43</v>
      </c>
      <c r="D355" s="11">
        <v>20</v>
      </c>
      <c r="E355" s="27">
        <v>330</v>
      </c>
      <c r="F355" s="7">
        <f t="shared" si="21"/>
        <v>6600</v>
      </c>
      <c r="G355" s="27">
        <f t="shared" si="22"/>
        <v>280.8510638297872</v>
      </c>
    </row>
    <row r="356" spans="1:7" ht="12.75">
      <c r="A356" s="26">
        <v>39556</v>
      </c>
      <c r="B356" s="14" t="s">
        <v>413</v>
      </c>
      <c r="C356" s="10" t="s">
        <v>43</v>
      </c>
      <c r="D356" s="11">
        <v>5</v>
      </c>
      <c r="E356" s="27">
        <v>330</v>
      </c>
      <c r="F356" s="7">
        <f t="shared" si="21"/>
        <v>1650</v>
      </c>
      <c r="G356" s="27">
        <f t="shared" si="22"/>
        <v>70.2127659574468</v>
      </c>
    </row>
    <row r="357" spans="1:7" ht="12.75">
      <c r="A357" s="26">
        <v>39556</v>
      </c>
      <c r="B357" s="14" t="s">
        <v>416</v>
      </c>
      <c r="C357" s="10" t="s">
        <v>417</v>
      </c>
      <c r="D357" s="11">
        <v>50</v>
      </c>
      <c r="E357" s="27">
        <v>344</v>
      </c>
      <c r="F357" s="7">
        <f t="shared" si="21"/>
        <v>17200</v>
      </c>
      <c r="G357" s="27">
        <f t="shared" si="22"/>
        <v>731.9148936170212</v>
      </c>
    </row>
    <row r="358" spans="1:7" ht="12.75">
      <c r="A358" s="26">
        <v>39712</v>
      </c>
      <c r="B358" s="14" t="s">
        <v>44</v>
      </c>
      <c r="C358" s="10" t="s">
        <v>95</v>
      </c>
      <c r="D358" s="11">
        <v>1</v>
      </c>
      <c r="E358" s="27">
        <v>5200</v>
      </c>
      <c r="F358" s="7">
        <f t="shared" si="21"/>
        <v>5200</v>
      </c>
      <c r="G358" s="27">
        <f aca="true" t="shared" si="23" ref="G358:G364">F358/25.5</f>
        <v>203.92156862745097</v>
      </c>
    </row>
    <row r="359" spans="1:7" ht="12.75">
      <c r="A359" s="26">
        <v>39712</v>
      </c>
      <c r="B359" s="14" t="s">
        <v>44</v>
      </c>
      <c r="C359" s="10" t="s">
        <v>43</v>
      </c>
      <c r="D359" s="11">
        <v>10</v>
      </c>
      <c r="E359" s="27">
        <v>360</v>
      </c>
      <c r="F359" s="7">
        <f t="shared" si="21"/>
        <v>3600</v>
      </c>
      <c r="G359" s="27">
        <f t="shared" si="23"/>
        <v>141.1764705882353</v>
      </c>
    </row>
    <row r="360" spans="1:7" ht="12.75">
      <c r="A360" s="26">
        <v>39712</v>
      </c>
      <c r="B360" s="14" t="s">
        <v>44</v>
      </c>
      <c r="C360" s="10" t="s">
        <v>120</v>
      </c>
      <c r="D360" s="11">
        <v>60</v>
      </c>
      <c r="E360" s="27">
        <v>11</v>
      </c>
      <c r="F360" s="7">
        <f t="shared" si="21"/>
        <v>660</v>
      </c>
      <c r="G360" s="27">
        <f t="shared" si="23"/>
        <v>25.88235294117647</v>
      </c>
    </row>
    <row r="361" spans="1:7" ht="12.75">
      <c r="A361" s="26">
        <v>39712</v>
      </c>
      <c r="B361" s="14" t="s">
        <v>44</v>
      </c>
      <c r="C361" s="10" t="s">
        <v>210</v>
      </c>
      <c r="D361" s="11">
        <v>10</v>
      </c>
      <c r="E361" s="27">
        <v>100</v>
      </c>
      <c r="F361" s="7">
        <f t="shared" si="21"/>
        <v>1000</v>
      </c>
      <c r="G361" s="27">
        <f t="shared" si="23"/>
        <v>39.21568627450981</v>
      </c>
    </row>
    <row r="362" spans="1:7" ht="12.75">
      <c r="A362" s="26">
        <v>39713</v>
      </c>
      <c r="B362" s="14" t="s">
        <v>44</v>
      </c>
      <c r="C362" s="10" t="s">
        <v>66</v>
      </c>
      <c r="D362" s="11">
        <v>4</v>
      </c>
      <c r="E362" s="27">
        <v>2400</v>
      </c>
      <c r="F362" s="7">
        <f t="shared" si="21"/>
        <v>9600</v>
      </c>
      <c r="G362" s="27">
        <f t="shared" si="23"/>
        <v>376.47058823529414</v>
      </c>
    </row>
    <row r="363" spans="1:7" ht="12.75">
      <c r="A363" s="26">
        <v>39716</v>
      </c>
      <c r="B363" s="14" t="s">
        <v>44</v>
      </c>
      <c r="C363" s="10" t="s">
        <v>443</v>
      </c>
      <c r="D363" s="11">
        <v>1</v>
      </c>
      <c r="E363" s="27">
        <v>4127</v>
      </c>
      <c r="F363" s="7">
        <f t="shared" si="21"/>
        <v>4127</v>
      </c>
      <c r="G363" s="27">
        <f t="shared" si="23"/>
        <v>161.84313725490196</v>
      </c>
    </row>
    <row r="364" spans="1:7" ht="12.75">
      <c r="A364" s="26">
        <v>39719</v>
      </c>
      <c r="B364" s="14" t="s">
        <v>168</v>
      </c>
      <c r="C364" s="10" t="s">
        <v>446</v>
      </c>
      <c r="D364" s="11">
        <v>7.05</v>
      </c>
      <c r="E364" s="27">
        <v>552</v>
      </c>
      <c r="F364" s="7">
        <f t="shared" si="21"/>
        <v>3891.6</v>
      </c>
      <c r="G364" s="27">
        <f t="shared" si="23"/>
        <v>152.61176470588234</v>
      </c>
    </row>
    <row r="365" spans="1:7" ht="12.75">
      <c r="A365" s="26">
        <v>39729</v>
      </c>
      <c r="B365" s="14" t="s">
        <v>168</v>
      </c>
      <c r="C365" s="10" t="s">
        <v>448</v>
      </c>
      <c r="D365" s="11">
        <v>1</v>
      </c>
      <c r="E365" s="27">
        <v>190</v>
      </c>
      <c r="F365" s="7">
        <f t="shared" si="21"/>
        <v>190</v>
      </c>
      <c r="G365" s="27">
        <f>F365/27.5</f>
        <v>6.909090909090909</v>
      </c>
    </row>
    <row r="366" spans="1:7" ht="12.75">
      <c r="A366" s="26">
        <v>39729</v>
      </c>
      <c r="B366" s="14" t="s">
        <v>168</v>
      </c>
      <c r="C366" s="10" t="s">
        <v>144</v>
      </c>
      <c r="D366" s="11">
        <v>1</v>
      </c>
      <c r="E366" s="27">
        <v>260</v>
      </c>
      <c r="F366" s="7">
        <f t="shared" si="21"/>
        <v>260</v>
      </c>
      <c r="G366" s="27">
        <f>F366/27.5</f>
        <v>9.454545454545455</v>
      </c>
    </row>
    <row r="367" spans="1:7" ht="12.75">
      <c r="A367" s="26">
        <v>39729</v>
      </c>
      <c r="B367" s="14" t="s">
        <v>168</v>
      </c>
      <c r="C367" s="10" t="s">
        <v>158</v>
      </c>
      <c r="D367" s="11">
        <v>1</v>
      </c>
      <c r="E367" s="27">
        <v>700</v>
      </c>
      <c r="F367" s="7">
        <f t="shared" si="21"/>
        <v>700</v>
      </c>
      <c r="G367" s="27">
        <f aca="true" t="shared" si="24" ref="G367:G372">F367/27.5</f>
        <v>25.454545454545453</v>
      </c>
    </row>
    <row r="368" spans="1:7" ht="12.75">
      <c r="A368" s="26">
        <v>39731</v>
      </c>
      <c r="B368" s="14" t="s">
        <v>168</v>
      </c>
      <c r="C368" s="10" t="s">
        <v>449</v>
      </c>
      <c r="D368" s="11">
        <v>1</v>
      </c>
      <c r="E368" s="27">
        <v>150</v>
      </c>
      <c r="F368" s="7">
        <f t="shared" si="21"/>
        <v>150</v>
      </c>
      <c r="G368" s="27">
        <f t="shared" si="24"/>
        <v>5.454545454545454</v>
      </c>
    </row>
    <row r="369" spans="1:7" ht="12.75">
      <c r="A369" s="26">
        <v>39735</v>
      </c>
      <c r="B369" s="14" t="s">
        <v>168</v>
      </c>
      <c r="C369" s="10" t="s">
        <v>150</v>
      </c>
      <c r="D369" s="11">
        <v>2</v>
      </c>
      <c r="E369" s="27">
        <v>650</v>
      </c>
      <c r="F369" s="7">
        <f t="shared" si="21"/>
        <v>1300</v>
      </c>
      <c r="G369" s="27">
        <f t="shared" si="24"/>
        <v>47.27272727272727</v>
      </c>
    </row>
    <row r="370" spans="1:7" ht="12.75">
      <c r="A370" s="26">
        <v>39735</v>
      </c>
      <c r="B370" s="14" t="s">
        <v>168</v>
      </c>
      <c r="C370" s="10" t="s">
        <v>161</v>
      </c>
      <c r="D370" s="11">
        <v>15</v>
      </c>
      <c r="E370" s="27">
        <v>160</v>
      </c>
      <c r="F370" s="7">
        <f t="shared" si="21"/>
        <v>2400</v>
      </c>
      <c r="G370" s="27">
        <f t="shared" si="24"/>
        <v>87.27272727272727</v>
      </c>
    </row>
    <row r="371" spans="1:7" ht="12.75">
      <c r="A371" s="26">
        <v>39744</v>
      </c>
      <c r="B371" s="14" t="s">
        <v>168</v>
      </c>
      <c r="C371" s="10" t="s">
        <v>210</v>
      </c>
      <c r="D371" s="11">
        <v>7</v>
      </c>
      <c r="E371" s="27">
        <v>135</v>
      </c>
      <c r="F371" s="7">
        <f t="shared" si="21"/>
        <v>945</v>
      </c>
      <c r="G371" s="27">
        <f t="shared" si="24"/>
        <v>34.36363636363637</v>
      </c>
    </row>
    <row r="372" spans="1:7" ht="12.75">
      <c r="A372" s="26">
        <v>39744</v>
      </c>
      <c r="B372" s="14" t="s">
        <v>168</v>
      </c>
      <c r="C372" s="10" t="s">
        <v>120</v>
      </c>
      <c r="D372" s="11">
        <v>7</v>
      </c>
      <c r="E372" s="27">
        <v>11.5</v>
      </c>
      <c r="F372" s="7">
        <f t="shared" si="21"/>
        <v>80.5</v>
      </c>
      <c r="G372" s="27">
        <f t="shared" si="24"/>
        <v>2.9272727272727272</v>
      </c>
    </row>
    <row r="373" spans="1:7" s="2" customFormat="1" ht="12.75">
      <c r="A373" s="9" t="s">
        <v>11</v>
      </c>
      <c r="B373" s="14"/>
      <c r="C373" s="12"/>
      <c r="D373" s="9"/>
      <c r="E373" s="9"/>
      <c r="F373" s="6">
        <f>SUM(F2:F372)</f>
        <v>2493424.8598</v>
      </c>
      <c r="G373" s="6">
        <f>SUM(G2:G372)</f>
        <v>91995.29551754941</v>
      </c>
    </row>
    <row r="374" spans="1:7" s="2" customFormat="1" ht="12.75">
      <c r="A374" s="21"/>
      <c r="B374" s="22"/>
      <c r="C374" s="23"/>
      <c r="D374" s="21"/>
      <c r="E374" s="21"/>
      <c r="F374" s="24"/>
      <c r="G374" s="24"/>
    </row>
  </sheetData>
  <sheetProtection/>
  <autoFilter ref="A1:G373"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4"/>
  <sheetViews>
    <sheetView zoomScalePageLayoutView="0" workbookViewId="0" topLeftCell="A1">
      <selection activeCell="E172" sqref="E172"/>
    </sheetView>
  </sheetViews>
  <sheetFormatPr defaultColWidth="9.00390625" defaultRowHeight="12.75"/>
  <cols>
    <col min="1" max="1" width="9.125" style="1" customWidth="1"/>
    <col min="2" max="2" width="58.625" style="3" customWidth="1"/>
    <col min="3" max="3" width="14.375" style="1" customWidth="1"/>
    <col min="4" max="4" width="12.125" style="1" customWidth="1"/>
    <col min="5" max="5" width="13.25390625" style="0" customWidth="1"/>
    <col min="6" max="6" width="13.375" style="0" customWidth="1"/>
    <col min="7" max="7" width="12.125" style="0" customWidth="1"/>
  </cols>
  <sheetData>
    <row r="1" spans="1:7" ht="12.75">
      <c r="A1" s="9" t="s">
        <v>263</v>
      </c>
      <c r="B1" s="9" t="s">
        <v>264</v>
      </c>
      <c r="C1" s="9" t="s">
        <v>265</v>
      </c>
      <c r="D1" s="9" t="s">
        <v>278</v>
      </c>
      <c r="E1" s="30" t="s">
        <v>279</v>
      </c>
      <c r="F1" s="30" t="s">
        <v>280</v>
      </c>
      <c r="G1" s="30" t="s">
        <v>281</v>
      </c>
    </row>
    <row r="2" spans="1:7" ht="12.75">
      <c r="A2" s="11">
        <v>1</v>
      </c>
      <c r="B2" s="10" t="s">
        <v>266</v>
      </c>
      <c r="C2" s="11">
        <v>2</v>
      </c>
      <c r="D2" s="11" t="s">
        <v>288</v>
      </c>
      <c r="E2" s="7">
        <v>1540.66</v>
      </c>
      <c r="F2" s="31">
        <f>E2*C2</f>
        <v>3081.32</v>
      </c>
      <c r="G2" s="32">
        <f>F2/23.5</f>
        <v>131.12</v>
      </c>
    </row>
    <row r="3" spans="1:7" ht="12.75">
      <c r="A3" s="11">
        <v>2</v>
      </c>
      <c r="B3" s="10" t="s">
        <v>267</v>
      </c>
      <c r="C3" s="11">
        <v>3</v>
      </c>
      <c r="D3" s="11" t="s">
        <v>288</v>
      </c>
      <c r="E3" s="31">
        <v>1769.92</v>
      </c>
      <c r="F3" s="31">
        <f aca="true" t="shared" si="0" ref="F3:F157">E3*C3</f>
        <v>5309.76</v>
      </c>
      <c r="G3" s="32">
        <f aca="true" t="shared" si="1" ref="G3:G156">F3/23.5</f>
        <v>225.9472340425532</v>
      </c>
    </row>
    <row r="4" spans="1:7" ht="12.75">
      <c r="A4" s="11">
        <v>3</v>
      </c>
      <c r="B4" s="10" t="s">
        <v>268</v>
      </c>
      <c r="C4" s="11">
        <v>20</v>
      </c>
      <c r="D4" s="11" t="s">
        <v>288</v>
      </c>
      <c r="E4" s="31">
        <v>1889.14</v>
      </c>
      <c r="F4" s="31">
        <f t="shared" si="0"/>
        <v>37782.8</v>
      </c>
      <c r="G4" s="32">
        <f t="shared" si="1"/>
        <v>1607.7787234042555</v>
      </c>
    </row>
    <row r="5" spans="1:7" ht="12.75">
      <c r="A5" s="11">
        <v>4</v>
      </c>
      <c r="B5" s="10" t="s">
        <v>269</v>
      </c>
      <c r="C5" s="11">
        <v>4</v>
      </c>
      <c r="D5" s="11" t="s">
        <v>288</v>
      </c>
      <c r="E5" s="31">
        <v>1990.01</v>
      </c>
      <c r="F5" s="31">
        <f t="shared" si="0"/>
        <v>7960.04</v>
      </c>
      <c r="G5" s="32">
        <f t="shared" si="1"/>
        <v>338.7251063829787</v>
      </c>
    </row>
    <row r="6" spans="1:7" ht="12.75">
      <c r="A6" s="11">
        <v>5</v>
      </c>
      <c r="B6" s="10" t="s">
        <v>270</v>
      </c>
      <c r="C6" s="11">
        <v>4</v>
      </c>
      <c r="D6" s="11" t="s">
        <v>288</v>
      </c>
      <c r="E6" s="31">
        <v>2494.4</v>
      </c>
      <c r="F6" s="31">
        <f t="shared" si="0"/>
        <v>9977.6</v>
      </c>
      <c r="G6" s="32">
        <f t="shared" si="1"/>
        <v>424.57872340425536</v>
      </c>
    </row>
    <row r="7" spans="1:7" ht="12.75">
      <c r="A7" s="11">
        <v>6</v>
      </c>
      <c r="B7" s="10" t="s">
        <v>271</v>
      </c>
      <c r="C7" s="11">
        <v>2</v>
      </c>
      <c r="D7" s="11" t="s">
        <v>288</v>
      </c>
      <c r="E7" s="31">
        <v>2842.89</v>
      </c>
      <c r="F7" s="31">
        <f t="shared" si="0"/>
        <v>5685.78</v>
      </c>
      <c r="G7" s="32">
        <f t="shared" si="1"/>
        <v>241.94808510638296</v>
      </c>
    </row>
    <row r="8" spans="1:7" ht="12.75">
      <c r="A8" s="11">
        <v>7</v>
      </c>
      <c r="B8" s="10" t="s">
        <v>272</v>
      </c>
      <c r="C8" s="11">
        <v>1</v>
      </c>
      <c r="D8" s="11" t="s">
        <v>288</v>
      </c>
      <c r="E8" s="31">
        <v>3018.41</v>
      </c>
      <c r="F8" s="31">
        <f t="shared" si="0"/>
        <v>3018.41</v>
      </c>
      <c r="G8" s="32">
        <f t="shared" si="1"/>
        <v>128.44297872340425</v>
      </c>
    </row>
    <row r="9" spans="1:7" ht="12.75">
      <c r="A9" s="11">
        <v>8</v>
      </c>
      <c r="B9" s="10" t="s">
        <v>273</v>
      </c>
      <c r="C9" s="11">
        <v>36</v>
      </c>
      <c r="D9" s="11" t="s">
        <v>292</v>
      </c>
      <c r="E9" s="31">
        <v>173.86</v>
      </c>
      <c r="F9" s="31">
        <f t="shared" si="0"/>
        <v>6258.960000000001</v>
      </c>
      <c r="G9" s="32">
        <f t="shared" si="1"/>
        <v>266.33872340425535</v>
      </c>
    </row>
    <row r="10" spans="1:7" ht="12.75">
      <c r="A10" s="11">
        <v>9</v>
      </c>
      <c r="B10" s="10" t="s">
        <v>274</v>
      </c>
      <c r="C10" s="11">
        <v>36</v>
      </c>
      <c r="D10" s="11" t="s">
        <v>288</v>
      </c>
      <c r="E10" s="31">
        <v>322.89</v>
      </c>
      <c r="F10" s="31">
        <f t="shared" si="0"/>
        <v>11624.039999999999</v>
      </c>
      <c r="G10" s="32">
        <f t="shared" si="1"/>
        <v>494.64</v>
      </c>
    </row>
    <row r="11" spans="1:7" ht="12.75">
      <c r="A11" s="11">
        <v>10</v>
      </c>
      <c r="B11" s="10" t="s">
        <v>287</v>
      </c>
      <c r="C11" s="11">
        <v>1000</v>
      </c>
      <c r="D11" s="11" t="s">
        <v>289</v>
      </c>
      <c r="E11" s="31">
        <v>35.53</v>
      </c>
      <c r="F11" s="31">
        <f t="shared" si="0"/>
        <v>35530</v>
      </c>
      <c r="G11" s="32">
        <f t="shared" si="1"/>
        <v>1511.9148936170213</v>
      </c>
    </row>
    <row r="12" spans="1:7" ht="12.75">
      <c r="A12" s="11">
        <v>11</v>
      </c>
      <c r="B12" s="10" t="s">
        <v>282</v>
      </c>
      <c r="C12" s="11">
        <v>1</v>
      </c>
      <c r="D12" s="11" t="s">
        <v>288</v>
      </c>
      <c r="E12" s="31">
        <v>1719.48</v>
      </c>
      <c r="F12" s="31">
        <f t="shared" si="0"/>
        <v>1719.48</v>
      </c>
      <c r="G12" s="32">
        <f t="shared" si="1"/>
        <v>73.16936170212766</v>
      </c>
    </row>
    <row r="13" spans="1:7" ht="12.75">
      <c r="A13" s="11">
        <v>12</v>
      </c>
      <c r="B13" s="10" t="s">
        <v>283</v>
      </c>
      <c r="C13" s="11">
        <v>2</v>
      </c>
      <c r="D13" s="11" t="s">
        <v>288</v>
      </c>
      <c r="E13" s="31">
        <v>2521.91</v>
      </c>
      <c r="F13" s="31">
        <f t="shared" si="0"/>
        <v>5043.82</v>
      </c>
      <c r="G13" s="32">
        <f t="shared" si="1"/>
        <v>214.63063829787234</v>
      </c>
    </row>
    <row r="14" spans="1:7" ht="12.75">
      <c r="A14" s="11">
        <v>13</v>
      </c>
      <c r="B14" s="10" t="s">
        <v>284</v>
      </c>
      <c r="C14" s="11">
        <v>1</v>
      </c>
      <c r="D14" s="11" t="s">
        <v>288</v>
      </c>
      <c r="E14" s="31">
        <v>1662.17</v>
      </c>
      <c r="F14" s="31">
        <f t="shared" si="0"/>
        <v>1662.17</v>
      </c>
      <c r="G14" s="32">
        <f t="shared" si="1"/>
        <v>70.73063829787235</v>
      </c>
    </row>
    <row r="15" spans="1:7" ht="12.75">
      <c r="A15" s="11">
        <v>14</v>
      </c>
      <c r="B15" s="10" t="s">
        <v>285</v>
      </c>
      <c r="C15" s="11">
        <v>1</v>
      </c>
      <c r="D15" s="11" t="s">
        <v>288</v>
      </c>
      <c r="E15" s="31">
        <v>2206.67</v>
      </c>
      <c r="F15" s="31">
        <f t="shared" si="0"/>
        <v>2206.67</v>
      </c>
      <c r="G15" s="32">
        <f t="shared" si="1"/>
        <v>93.90085106382979</v>
      </c>
    </row>
    <row r="16" spans="1:7" ht="12.75">
      <c r="A16" s="11">
        <v>15</v>
      </c>
      <c r="B16" s="10" t="s">
        <v>286</v>
      </c>
      <c r="C16" s="11">
        <v>36</v>
      </c>
      <c r="D16" s="11" t="s">
        <v>288</v>
      </c>
      <c r="E16" s="31">
        <v>385.55</v>
      </c>
      <c r="F16" s="31">
        <f t="shared" si="0"/>
        <v>13879.800000000001</v>
      </c>
      <c r="G16" s="32">
        <f t="shared" si="1"/>
        <v>590.6297872340426</v>
      </c>
    </row>
    <row r="17" spans="1:7" ht="12.75">
      <c r="A17" s="11">
        <v>16</v>
      </c>
      <c r="B17" s="10" t="s">
        <v>275</v>
      </c>
      <c r="C17" s="11">
        <v>90</v>
      </c>
      <c r="D17" s="11" t="s">
        <v>290</v>
      </c>
      <c r="E17" s="31">
        <v>157.82</v>
      </c>
      <c r="F17" s="31">
        <f t="shared" si="0"/>
        <v>14203.8</v>
      </c>
      <c r="G17" s="32">
        <f t="shared" si="1"/>
        <v>604.4170212765957</v>
      </c>
    </row>
    <row r="18" spans="1:7" ht="12.75">
      <c r="A18" s="11">
        <v>17</v>
      </c>
      <c r="B18" s="10" t="s">
        <v>276</v>
      </c>
      <c r="C18" s="11">
        <v>4</v>
      </c>
      <c r="D18" s="11" t="s">
        <v>291</v>
      </c>
      <c r="E18" s="31">
        <v>626.66</v>
      </c>
      <c r="F18" s="31">
        <f t="shared" si="0"/>
        <v>2506.64</v>
      </c>
      <c r="G18" s="32">
        <f t="shared" si="1"/>
        <v>106.6655319148936</v>
      </c>
    </row>
    <row r="19" spans="1:7" ht="12.75">
      <c r="A19" s="11">
        <v>18</v>
      </c>
      <c r="B19" s="10" t="s">
        <v>277</v>
      </c>
      <c r="C19" s="11">
        <v>10</v>
      </c>
      <c r="D19" s="11" t="s">
        <v>288</v>
      </c>
      <c r="E19" s="31">
        <v>375.62</v>
      </c>
      <c r="F19" s="31">
        <f t="shared" si="0"/>
        <v>3756.2</v>
      </c>
      <c r="G19" s="31">
        <f t="shared" si="1"/>
        <v>159.8382978723404</v>
      </c>
    </row>
    <row r="20" spans="1:7" ht="12.75">
      <c r="A20" s="11">
        <v>19</v>
      </c>
      <c r="B20" s="10" t="s">
        <v>293</v>
      </c>
      <c r="C20" s="11">
        <v>6</v>
      </c>
      <c r="D20" s="11" t="s">
        <v>288</v>
      </c>
      <c r="E20" s="31">
        <v>1600</v>
      </c>
      <c r="F20" s="31">
        <f t="shared" si="0"/>
        <v>9600</v>
      </c>
      <c r="G20" s="31">
        <f t="shared" si="1"/>
        <v>408.51063829787233</v>
      </c>
    </row>
    <row r="21" spans="1:7" ht="12.75">
      <c r="A21" s="11">
        <v>20</v>
      </c>
      <c r="B21" s="10" t="s">
        <v>294</v>
      </c>
      <c r="C21" s="11">
        <v>32</v>
      </c>
      <c r="D21" s="11" t="s">
        <v>289</v>
      </c>
      <c r="E21" s="31">
        <v>110</v>
      </c>
      <c r="F21" s="31">
        <f t="shared" si="0"/>
        <v>3520</v>
      </c>
      <c r="G21" s="31">
        <f t="shared" si="1"/>
        <v>149.7872340425532</v>
      </c>
    </row>
    <row r="22" spans="1:7" ht="12.75">
      <c r="A22" s="11">
        <v>21</v>
      </c>
      <c r="B22" s="10" t="s">
        <v>295</v>
      </c>
      <c r="C22" s="11">
        <v>10</v>
      </c>
      <c r="D22" s="11" t="s">
        <v>288</v>
      </c>
      <c r="E22" s="31">
        <v>12</v>
      </c>
      <c r="F22" s="31">
        <f t="shared" si="0"/>
        <v>120</v>
      </c>
      <c r="G22" s="31">
        <f t="shared" si="1"/>
        <v>5.1063829787234045</v>
      </c>
    </row>
    <row r="23" spans="1:7" ht="12.75">
      <c r="A23" s="11">
        <v>22</v>
      </c>
      <c r="B23" s="10" t="s">
        <v>296</v>
      </c>
      <c r="C23" s="11">
        <v>10</v>
      </c>
      <c r="D23" s="11" t="s">
        <v>288</v>
      </c>
      <c r="E23" s="31">
        <v>15</v>
      </c>
      <c r="F23" s="31">
        <f t="shared" si="0"/>
        <v>150</v>
      </c>
      <c r="G23" s="31">
        <f t="shared" si="1"/>
        <v>6.382978723404255</v>
      </c>
    </row>
    <row r="24" spans="1:7" ht="12.75">
      <c r="A24" s="11">
        <v>23</v>
      </c>
      <c r="B24" s="10" t="s">
        <v>297</v>
      </c>
      <c r="C24" s="11">
        <v>6</v>
      </c>
      <c r="D24" s="11" t="s">
        <v>288</v>
      </c>
      <c r="E24" s="31">
        <v>150</v>
      </c>
      <c r="F24" s="31">
        <f t="shared" si="0"/>
        <v>900</v>
      </c>
      <c r="G24" s="31">
        <f t="shared" si="1"/>
        <v>38.297872340425535</v>
      </c>
    </row>
    <row r="25" spans="1:7" ht="12.75">
      <c r="A25" s="11">
        <v>24</v>
      </c>
      <c r="B25" s="10" t="s">
        <v>298</v>
      </c>
      <c r="C25" s="11">
        <v>2</v>
      </c>
      <c r="D25" s="11" t="s">
        <v>288</v>
      </c>
      <c r="E25" s="31">
        <v>150</v>
      </c>
      <c r="F25" s="31">
        <f t="shared" si="0"/>
        <v>300</v>
      </c>
      <c r="G25" s="31">
        <f t="shared" si="1"/>
        <v>12.76595744680851</v>
      </c>
    </row>
    <row r="26" spans="1:7" ht="12.75">
      <c r="A26" s="11">
        <v>25</v>
      </c>
      <c r="B26" s="10" t="s">
        <v>299</v>
      </c>
      <c r="C26" s="11">
        <v>72</v>
      </c>
      <c r="D26" s="11" t="s">
        <v>288</v>
      </c>
      <c r="E26" s="31">
        <v>120</v>
      </c>
      <c r="F26" s="31">
        <f t="shared" si="0"/>
        <v>8640</v>
      </c>
      <c r="G26" s="31">
        <f t="shared" si="1"/>
        <v>367.6595744680851</v>
      </c>
    </row>
    <row r="27" spans="1:7" ht="12.75">
      <c r="A27" s="11">
        <v>26</v>
      </c>
      <c r="B27" s="10" t="s">
        <v>300</v>
      </c>
      <c r="C27" s="11">
        <v>6</v>
      </c>
      <c r="D27" s="11" t="s">
        <v>288</v>
      </c>
      <c r="E27" s="31">
        <v>300</v>
      </c>
      <c r="F27" s="31">
        <f t="shared" si="0"/>
        <v>1800</v>
      </c>
      <c r="G27" s="31">
        <f t="shared" si="1"/>
        <v>76.59574468085107</v>
      </c>
    </row>
    <row r="28" spans="1:7" ht="12.75">
      <c r="A28" s="11">
        <v>27</v>
      </c>
      <c r="B28" s="10" t="s">
        <v>310</v>
      </c>
      <c r="C28" s="11">
        <v>16</v>
      </c>
      <c r="D28" s="11" t="s">
        <v>288</v>
      </c>
      <c r="E28" s="31">
        <v>40</v>
      </c>
      <c r="F28" s="31">
        <f t="shared" si="0"/>
        <v>640</v>
      </c>
      <c r="G28" s="31">
        <f t="shared" si="1"/>
        <v>27.23404255319149</v>
      </c>
    </row>
    <row r="29" spans="1:7" ht="12.75">
      <c r="A29" s="11">
        <v>28</v>
      </c>
      <c r="B29" s="10" t="s">
        <v>311</v>
      </c>
      <c r="C29" s="11">
        <v>100</v>
      </c>
      <c r="D29" s="11" t="s">
        <v>288</v>
      </c>
      <c r="E29" s="31">
        <v>25</v>
      </c>
      <c r="F29" s="31">
        <f t="shared" si="0"/>
        <v>2500</v>
      </c>
      <c r="G29" s="31">
        <f t="shared" si="1"/>
        <v>106.38297872340425</v>
      </c>
    </row>
    <row r="30" spans="1:7" ht="12.75">
      <c r="A30" s="11">
        <v>29</v>
      </c>
      <c r="B30" s="10" t="s">
        <v>301</v>
      </c>
      <c r="C30" s="11">
        <v>6</v>
      </c>
      <c r="D30" s="11" t="s">
        <v>288</v>
      </c>
      <c r="E30" s="31">
        <v>50</v>
      </c>
      <c r="F30" s="31">
        <f t="shared" si="0"/>
        <v>300</v>
      </c>
      <c r="G30" s="31">
        <f t="shared" si="1"/>
        <v>12.76595744680851</v>
      </c>
    </row>
    <row r="31" spans="1:7" ht="12.75">
      <c r="A31" s="11">
        <v>30</v>
      </c>
      <c r="B31" s="10" t="s">
        <v>302</v>
      </c>
      <c r="C31" s="11">
        <v>6</v>
      </c>
      <c r="D31" s="11" t="s">
        <v>288</v>
      </c>
      <c r="E31" s="31">
        <v>80</v>
      </c>
      <c r="F31" s="31">
        <f t="shared" si="0"/>
        <v>480</v>
      </c>
      <c r="G31" s="31">
        <f t="shared" si="1"/>
        <v>20.425531914893618</v>
      </c>
    </row>
    <row r="32" spans="1:7" ht="12.75">
      <c r="A32" s="11">
        <v>31</v>
      </c>
      <c r="B32" s="10" t="s">
        <v>303</v>
      </c>
      <c r="C32" s="11">
        <v>6</v>
      </c>
      <c r="D32" s="11" t="s">
        <v>288</v>
      </c>
      <c r="E32" s="31">
        <v>20</v>
      </c>
      <c r="F32" s="31">
        <f t="shared" si="0"/>
        <v>120</v>
      </c>
      <c r="G32" s="31">
        <f t="shared" si="1"/>
        <v>5.1063829787234045</v>
      </c>
    </row>
    <row r="33" spans="1:7" ht="12.75">
      <c r="A33" s="11">
        <v>32</v>
      </c>
      <c r="B33" s="10" t="s">
        <v>304</v>
      </c>
      <c r="C33" s="11">
        <v>72</v>
      </c>
      <c r="D33" s="11" t="s">
        <v>288</v>
      </c>
      <c r="E33" s="31">
        <v>60</v>
      </c>
      <c r="F33" s="31">
        <f t="shared" si="0"/>
        <v>4320</v>
      </c>
      <c r="G33" s="31">
        <f t="shared" si="1"/>
        <v>183.82978723404256</v>
      </c>
    </row>
    <row r="34" spans="1:7" ht="12.75">
      <c r="A34" s="11">
        <v>33</v>
      </c>
      <c r="B34" s="10" t="s">
        <v>305</v>
      </c>
      <c r="C34" s="11">
        <v>6</v>
      </c>
      <c r="D34" s="11" t="s">
        <v>288</v>
      </c>
      <c r="E34" s="31">
        <v>10</v>
      </c>
      <c r="F34" s="31">
        <f t="shared" si="0"/>
        <v>60</v>
      </c>
      <c r="G34" s="31">
        <f t="shared" si="1"/>
        <v>2.5531914893617023</v>
      </c>
    </row>
    <row r="35" spans="1:7" ht="12.75">
      <c r="A35" s="11">
        <v>34</v>
      </c>
      <c r="B35" s="10" t="s">
        <v>306</v>
      </c>
      <c r="C35" s="11">
        <v>2</v>
      </c>
      <c r="D35" s="11" t="s">
        <v>307</v>
      </c>
      <c r="E35" s="31">
        <v>20</v>
      </c>
      <c r="F35" s="31">
        <f t="shared" si="0"/>
        <v>40</v>
      </c>
      <c r="G35" s="31">
        <f t="shared" si="1"/>
        <v>1.702127659574468</v>
      </c>
    </row>
    <row r="36" spans="1:7" ht="12.75">
      <c r="A36" s="11">
        <v>35</v>
      </c>
      <c r="B36" s="10" t="s">
        <v>308</v>
      </c>
      <c r="C36" s="11">
        <v>16</v>
      </c>
      <c r="D36" s="11" t="s">
        <v>288</v>
      </c>
      <c r="E36" s="31">
        <v>6</v>
      </c>
      <c r="F36" s="31">
        <f t="shared" si="0"/>
        <v>96</v>
      </c>
      <c r="G36" s="31">
        <f t="shared" si="1"/>
        <v>4.085106382978723</v>
      </c>
    </row>
    <row r="37" spans="1:7" ht="12.75">
      <c r="A37" s="11">
        <v>36</v>
      </c>
      <c r="B37" s="10" t="s">
        <v>309</v>
      </c>
      <c r="C37" s="11">
        <v>6</v>
      </c>
      <c r="D37" s="11" t="s">
        <v>288</v>
      </c>
      <c r="E37" s="31">
        <v>50</v>
      </c>
      <c r="F37" s="31">
        <f t="shared" si="0"/>
        <v>300</v>
      </c>
      <c r="G37" s="31">
        <f t="shared" si="1"/>
        <v>12.76595744680851</v>
      </c>
    </row>
    <row r="38" spans="1:7" ht="12.75">
      <c r="A38" s="11">
        <v>37</v>
      </c>
      <c r="B38" s="10" t="s">
        <v>312</v>
      </c>
      <c r="C38" s="11">
        <v>200</v>
      </c>
      <c r="D38" s="11" t="s">
        <v>288</v>
      </c>
      <c r="E38" s="31">
        <v>5</v>
      </c>
      <c r="F38" s="31">
        <f t="shared" si="0"/>
        <v>1000</v>
      </c>
      <c r="G38" s="31">
        <f t="shared" si="1"/>
        <v>42.5531914893617</v>
      </c>
    </row>
    <row r="39" spans="1:7" ht="12.75">
      <c r="A39" s="11">
        <v>38</v>
      </c>
      <c r="B39" s="10" t="s">
        <v>311</v>
      </c>
      <c r="C39" s="11">
        <v>300</v>
      </c>
      <c r="D39" s="11" t="s">
        <v>288</v>
      </c>
      <c r="E39" s="31">
        <v>10</v>
      </c>
      <c r="F39" s="31">
        <f t="shared" si="0"/>
        <v>3000</v>
      </c>
      <c r="G39" s="31">
        <f t="shared" si="1"/>
        <v>127.65957446808511</v>
      </c>
    </row>
    <row r="40" spans="1:7" ht="12.75">
      <c r="A40" s="11">
        <v>39</v>
      </c>
      <c r="B40" s="10" t="s">
        <v>313</v>
      </c>
      <c r="C40" s="11">
        <v>200</v>
      </c>
      <c r="D40" s="11" t="s">
        <v>288</v>
      </c>
      <c r="E40" s="31">
        <v>5</v>
      </c>
      <c r="F40" s="31">
        <f t="shared" si="0"/>
        <v>1000</v>
      </c>
      <c r="G40" s="31">
        <f t="shared" si="1"/>
        <v>42.5531914893617</v>
      </c>
    </row>
    <row r="41" spans="1:7" ht="12.75">
      <c r="A41" s="11">
        <v>40</v>
      </c>
      <c r="B41" s="10" t="s">
        <v>314</v>
      </c>
      <c r="C41" s="11">
        <v>2</v>
      </c>
      <c r="D41" s="11" t="s">
        <v>288</v>
      </c>
      <c r="E41" s="31">
        <v>5</v>
      </c>
      <c r="F41" s="31">
        <f t="shared" si="0"/>
        <v>10</v>
      </c>
      <c r="G41" s="31">
        <f t="shared" si="1"/>
        <v>0.425531914893617</v>
      </c>
    </row>
    <row r="42" spans="1:7" ht="12.75">
      <c r="A42" s="11">
        <v>41</v>
      </c>
      <c r="B42" s="10" t="s">
        <v>315</v>
      </c>
      <c r="C42" s="11">
        <v>1</v>
      </c>
      <c r="D42" s="11" t="s">
        <v>316</v>
      </c>
      <c r="E42" s="31">
        <v>350</v>
      </c>
      <c r="F42" s="31">
        <f t="shared" si="0"/>
        <v>350</v>
      </c>
      <c r="G42" s="31">
        <f t="shared" si="1"/>
        <v>14.893617021276595</v>
      </c>
    </row>
    <row r="43" spans="1:7" ht="12.75">
      <c r="A43" s="11">
        <v>42</v>
      </c>
      <c r="B43" s="10" t="s">
        <v>317</v>
      </c>
      <c r="C43" s="11">
        <v>1</v>
      </c>
      <c r="D43" s="11" t="s">
        <v>318</v>
      </c>
      <c r="E43" s="31">
        <v>100</v>
      </c>
      <c r="F43" s="31">
        <f t="shared" si="0"/>
        <v>100</v>
      </c>
      <c r="G43" s="31">
        <f t="shared" si="1"/>
        <v>4.25531914893617</v>
      </c>
    </row>
    <row r="44" spans="1:7" ht="12.75">
      <c r="A44" s="11">
        <v>43</v>
      </c>
      <c r="B44" s="10" t="s">
        <v>319</v>
      </c>
      <c r="C44" s="11">
        <v>1</v>
      </c>
      <c r="D44" s="11" t="s">
        <v>318</v>
      </c>
      <c r="E44" s="31">
        <v>80</v>
      </c>
      <c r="F44" s="31">
        <f t="shared" si="0"/>
        <v>80</v>
      </c>
      <c r="G44" s="31">
        <f t="shared" si="1"/>
        <v>3.404255319148936</v>
      </c>
    </row>
    <row r="45" spans="1:7" ht="12.75">
      <c r="A45" s="11">
        <v>44</v>
      </c>
      <c r="B45" s="10" t="s">
        <v>320</v>
      </c>
      <c r="C45" s="11">
        <v>2</v>
      </c>
      <c r="D45" s="11" t="s">
        <v>288</v>
      </c>
      <c r="E45" s="31">
        <v>25</v>
      </c>
      <c r="F45" s="31">
        <f t="shared" si="0"/>
        <v>50</v>
      </c>
      <c r="G45" s="31">
        <f t="shared" si="1"/>
        <v>2.127659574468085</v>
      </c>
    </row>
    <row r="46" spans="1:7" ht="12.75">
      <c r="A46" s="11">
        <v>45</v>
      </c>
      <c r="B46" s="10" t="s">
        <v>321</v>
      </c>
      <c r="C46" s="11">
        <v>20</v>
      </c>
      <c r="D46" s="11" t="s">
        <v>288</v>
      </c>
      <c r="E46" s="31">
        <v>15</v>
      </c>
      <c r="F46" s="31">
        <f t="shared" si="0"/>
        <v>300</v>
      </c>
      <c r="G46" s="31">
        <f t="shared" si="1"/>
        <v>12.76595744680851</v>
      </c>
    </row>
    <row r="47" spans="1:7" ht="12.75">
      <c r="A47" s="11">
        <v>46</v>
      </c>
      <c r="B47" s="10" t="s">
        <v>338</v>
      </c>
      <c r="C47" s="11">
        <v>2</v>
      </c>
      <c r="D47" s="11" t="s">
        <v>288</v>
      </c>
      <c r="E47" s="31">
        <v>40</v>
      </c>
      <c r="F47" s="31">
        <f t="shared" si="0"/>
        <v>80</v>
      </c>
      <c r="G47" s="31">
        <f t="shared" si="1"/>
        <v>3.404255319148936</v>
      </c>
    </row>
    <row r="48" spans="1:7" ht="12.75">
      <c r="A48" s="11">
        <v>47</v>
      </c>
      <c r="B48" s="10" t="s">
        <v>322</v>
      </c>
      <c r="C48" s="11">
        <v>15</v>
      </c>
      <c r="D48" s="11" t="s">
        <v>288</v>
      </c>
      <c r="E48" s="31">
        <v>25</v>
      </c>
      <c r="F48" s="31">
        <f t="shared" si="0"/>
        <v>375</v>
      </c>
      <c r="G48" s="31">
        <f t="shared" si="1"/>
        <v>15.957446808510639</v>
      </c>
    </row>
    <row r="49" spans="1:7" ht="12.75">
      <c r="A49" s="11">
        <v>48</v>
      </c>
      <c r="B49" s="10" t="s">
        <v>323</v>
      </c>
      <c r="C49" s="11">
        <v>4</v>
      </c>
      <c r="D49" s="11" t="s">
        <v>288</v>
      </c>
      <c r="E49" s="31">
        <v>20</v>
      </c>
      <c r="F49" s="31">
        <f t="shared" si="0"/>
        <v>80</v>
      </c>
      <c r="G49" s="31">
        <f t="shared" si="1"/>
        <v>3.404255319148936</v>
      </c>
    </row>
    <row r="50" spans="1:7" ht="12.75">
      <c r="A50" s="11">
        <v>49</v>
      </c>
      <c r="B50" s="10" t="s">
        <v>305</v>
      </c>
      <c r="C50" s="11">
        <v>2</v>
      </c>
      <c r="D50" s="11" t="s">
        <v>288</v>
      </c>
      <c r="E50" s="31">
        <v>15</v>
      </c>
      <c r="F50" s="31">
        <f t="shared" si="0"/>
        <v>30</v>
      </c>
      <c r="G50" s="31">
        <f t="shared" si="1"/>
        <v>1.2765957446808511</v>
      </c>
    </row>
    <row r="51" spans="1:7" ht="12.75">
      <c r="A51" s="11">
        <v>50</v>
      </c>
      <c r="B51" s="10" t="s">
        <v>324</v>
      </c>
      <c r="C51" s="11">
        <v>3</v>
      </c>
      <c r="D51" s="11" t="s">
        <v>288</v>
      </c>
      <c r="E51" s="31">
        <v>120</v>
      </c>
      <c r="F51" s="31">
        <f t="shared" si="0"/>
        <v>360</v>
      </c>
      <c r="G51" s="31">
        <f t="shared" si="1"/>
        <v>15.319148936170214</v>
      </c>
    </row>
    <row r="52" spans="1:7" ht="12.75">
      <c r="A52" s="11">
        <v>51</v>
      </c>
      <c r="B52" s="10" t="s">
        <v>325</v>
      </c>
      <c r="C52" s="11">
        <v>1</v>
      </c>
      <c r="D52" s="11" t="s">
        <v>288</v>
      </c>
      <c r="E52" s="31">
        <v>130</v>
      </c>
      <c r="F52" s="31">
        <f t="shared" si="0"/>
        <v>130</v>
      </c>
      <c r="G52" s="31">
        <f t="shared" si="1"/>
        <v>5.531914893617022</v>
      </c>
    </row>
    <row r="53" spans="1:7" ht="12.75">
      <c r="A53" s="11">
        <v>52</v>
      </c>
      <c r="B53" s="10" t="s">
        <v>327</v>
      </c>
      <c r="C53" s="11">
        <v>2</v>
      </c>
      <c r="D53" s="11" t="s">
        <v>288</v>
      </c>
      <c r="E53" s="31">
        <v>30</v>
      </c>
      <c r="F53" s="31">
        <f t="shared" si="0"/>
        <v>60</v>
      </c>
      <c r="G53" s="31">
        <f t="shared" si="1"/>
        <v>2.5531914893617023</v>
      </c>
    </row>
    <row r="54" spans="1:7" ht="12.75">
      <c r="A54" s="11">
        <v>53</v>
      </c>
      <c r="B54" s="10" t="s">
        <v>328</v>
      </c>
      <c r="C54" s="11">
        <v>1</v>
      </c>
      <c r="D54" s="11" t="s">
        <v>288</v>
      </c>
      <c r="E54" s="31">
        <v>500</v>
      </c>
      <c r="F54" s="31">
        <f t="shared" si="0"/>
        <v>500</v>
      </c>
      <c r="G54" s="31">
        <f t="shared" si="1"/>
        <v>21.27659574468085</v>
      </c>
    </row>
    <row r="55" spans="1:7" ht="12.75">
      <c r="A55" s="11">
        <v>54</v>
      </c>
      <c r="B55" s="10" t="s">
        <v>329</v>
      </c>
      <c r="C55" s="11">
        <v>10</v>
      </c>
      <c r="D55" s="11" t="s">
        <v>288</v>
      </c>
      <c r="E55" s="31">
        <v>40</v>
      </c>
      <c r="F55" s="31">
        <f t="shared" si="0"/>
        <v>400</v>
      </c>
      <c r="G55" s="31">
        <f t="shared" si="1"/>
        <v>17.02127659574468</v>
      </c>
    </row>
    <row r="56" spans="1:7" ht="12.75">
      <c r="A56" s="11">
        <v>55</v>
      </c>
      <c r="B56" s="10" t="s">
        <v>332</v>
      </c>
      <c r="C56" s="11">
        <v>31</v>
      </c>
      <c r="D56" s="11" t="s">
        <v>288</v>
      </c>
      <c r="E56" s="31">
        <v>120</v>
      </c>
      <c r="F56" s="31">
        <f t="shared" si="0"/>
        <v>3720</v>
      </c>
      <c r="G56" s="31">
        <f t="shared" si="1"/>
        <v>158.29787234042553</v>
      </c>
    </row>
    <row r="57" spans="1:7" ht="12.75">
      <c r="A57" s="11">
        <v>56</v>
      </c>
      <c r="B57" s="10" t="s">
        <v>327</v>
      </c>
      <c r="C57" s="11">
        <v>2</v>
      </c>
      <c r="D57" s="11" t="s">
        <v>288</v>
      </c>
      <c r="E57" s="31">
        <v>60</v>
      </c>
      <c r="F57" s="31">
        <f t="shared" si="0"/>
        <v>120</v>
      </c>
      <c r="G57" s="31">
        <f t="shared" si="1"/>
        <v>5.1063829787234045</v>
      </c>
    </row>
    <row r="58" spans="1:7" ht="12.75">
      <c r="A58" s="11">
        <v>57</v>
      </c>
      <c r="B58" s="10" t="s">
        <v>330</v>
      </c>
      <c r="C58" s="11">
        <v>2</v>
      </c>
      <c r="D58" s="11" t="s">
        <v>288</v>
      </c>
      <c r="E58" s="31">
        <v>50</v>
      </c>
      <c r="F58" s="31">
        <f t="shared" si="0"/>
        <v>100</v>
      </c>
      <c r="G58" s="31">
        <f t="shared" si="1"/>
        <v>4.25531914893617</v>
      </c>
    </row>
    <row r="59" spans="1:7" ht="12.75">
      <c r="A59" s="11">
        <v>58</v>
      </c>
      <c r="B59" s="10" t="s">
        <v>331</v>
      </c>
      <c r="C59" s="11">
        <v>2</v>
      </c>
      <c r="D59" s="11" t="s">
        <v>288</v>
      </c>
      <c r="E59" s="31">
        <v>220</v>
      </c>
      <c r="F59" s="31">
        <f t="shared" si="0"/>
        <v>440</v>
      </c>
      <c r="G59" s="31">
        <f t="shared" si="1"/>
        <v>18.72340425531915</v>
      </c>
    </row>
    <row r="60" spans="1:7" ht="12.75">
      <c r="A60" s="11">
        <v>59</v>
      </c>
      <c r="B60" s="10" t="s">
        <v>333</v>
      </c>
      <c r="C60" s="11">
        <v>6</v>
      </c>
      <c r="D60" s="11" t="s">
        <v>288</v>
      </c>
      <c r="E60" s="31">
        <v>230</v>
      </c>
      <c r="F60" s="31">
        <f t="shared" si="0"/>
        <v>1380</v>
      </c>
      <c r="G60" s="31">
        <f t="shared" si="1"/>
        <v>58.723404255319146</v>
      </c>
    </row>
    <row r="61" spans="1:7" ht="12.75">
      <c r="A61" s="11">
        <v>60</v>
      </c>
      <c r="B61" s="10" t="s">
        <v>334</v>
      </c>
      <c r="C61" s="11">
        <v>4</v>
      </c>
      <c r="D61" s="11" t="s">
        <v>288</v>
      </c>
      <c r="E61" s="31">
        <v>180</v>
      </c>
      <c r="F61" s="31">
        <f t="shared" si="0"/>
        <v>720</v>
      </c>
      <c r="G61" s="31">
        <f t="shared" si="1"/>
        <v>30.638297872340427</v>
      </c>
    </row>
    <row r="62" spans="1:7" ht="12.75">
      <c r="A62" s="11">
        <v>61</v>
      </c>
      <c r="B62" s="10" t="s">
        <v>336</v>
      </c>
      <c r="C62" s="11">
        <v>6</v>
      </c>
      <c r="D62" s="11" t="s">
        <v>288</v>
      </c>
      <c r="E62" s="31">
        <v>50</v>
      </c>
      <c r="F62" s="31">
        <f t="shared" si="0"/>
        <v>300</v>
      </c>
      <c r="G62" s="31">
        <f t="shared" si="1"/>
        <v>12.76595744680851</v>
      </c>
    </row>
    <row r="63" spans="1:7" ht="12.75">
      <c r="A63" s="11">
        <v>62</v>
      </c>
      <c r="B63" s="10" t="s">
        <v>337</v>
      </c>
      <c r="C63" s="11">
        <v>4</v>
      </c>
      <c r="D63" s="11" t="s">
        <v>288</v>
      </c>
      <c r="E63" s="31">
        <v>40</v>
      </c>
      <c r="F63" s="31">
        <f t="shared" si="0"/>
        <v>160</v>
      </c>
      <c r="G63" s="31">
        <f t="shared" si="1"/>
        <v>6.808510638297872</v>
      </c>
    </row>
    <row r="64" spans="1:7" ht="12.75">
      <c r="A64" s="11">
        <v>63</v>
      </c>
      <c r="B64" s="10" t="s">
        <v>339</v>
      </c>
      <c r="C64" s="11">
        <v>10</v>
      </c>
      <c r="D64" s="11" t="s">
        <v>288</v>
      </c>
      <c r="E64" s="31">
        <v>30</v>
      </c>
      <c r="F64" s="31">
        <f t="shared" si="0"/>
        <v>300</v>
      </c>
      <c r="G64" s="31">
        <f t="shared" si="1"/>
        <v>12.76595744680851</v>
      </c>
    </row>
    <row r="65" spans="1:7" ht="12.75">
      <c r="A65" s="11">
        <v>64</v>
      </c>
      <c r="B65" s="10" t="s">
        <v>340</v>
      </c>
      <c r="C65" s="11">
        <v>2</v>
      </c>
      <c r="D65" s="11" t="s">
        <v>288</v>
      </c>
      <c r="E65" s="31">
        <v>50</v>
      </c>
      <c r="F65" s="31">
        <f t="shared" si="0"/>
        <v>100</v>
      </c>
      <c r="G65" s="31">
        <f t="shared" si="1"/>
        <v>4.25531914893617</v>
      </c>
    </row>
    <row r="66" spans="1:7" ht="12.75">
      <c r="A66" s="11">
        <v>65</v>
      </c>
      <c r="B66" s="10" t="s">
        <v>306</v>
      </c>
      <c r="C66" s="11">
        <v>2</v>
      </c>
      <c r="D66" s="11" t="s">
        <v>288</v>
      </c>
      <c r="E66" s="31">
        <v>30</v>
      </c>
      <c r="F66" s="31">
        <f t="shared" si="0"/>
        <v>60</v>
      </c>
      <c r="G66" s="31">
        <f t="shared" si="1"/>
        <v>2.5531914893617023</v>
      </c>
    </row>
    <row r="67" spans="1:7" ht="12.75">
      <c r="A67" s="11">
        <v>66</v>
      </c>
      <c r="B67" s="10" t="s">
        <v>341</v>
      </c>
      <c r="C67" s="11">
        <v>1</v>
      </c>
      <c r="D67" s="11" t="s">
        <v>288</v>
      </c>
      <c r="E67" s="31">
        <v>50</v>
      </c>
      <c r="F67" s="31">
        <f t="shared" si="0"/>
        <v>50</v>
      </c>
      <c r="G67" s="31">
        <f t="shared" si="1"/>
        <v>2.127659574468085</v>
      </c>
    </row>
    <row r="68" spans="1:7" ht="12.75">
      <c r="A68" s="11">
        <v>67</v>
      </c>
      <c r="B68" s="10" t="s">
        <v>342</v>
      </c>
      <c r="C68" s="11">
        <v>6</v>
      </c>
      <c r="D68" s="11" t="s">
        <v>288</v>
      </c>
      <c r="E68" s="31">
        <v>60</v>
      </c>
      <c r="F68" s="31">
        <f t="shared" si="0"/>
        <v>360</v>
      </c>
      <c r="G68" s="31">
        <f t="shared" si="1"/>
        <v>15.319148936170214</v>
      </c>
    </row>
    <row r="69" spans="1:7" ht="12.75">
      <c r="A69" s="11">
        <v>68</v>
      </c>
      <c r="B69" s="10" t="s">
        <v>319</v>
      </c>
      <c r="C69" s="11">
        <v>3</v>
      </c>
      <c r="D69" s="11" t="s">
        <v>288</v>
      </c>
      <c r="E69" s="31">
        <v>180</v>
      </c>
      <c r="F69" s="31">
        <f t="shared" si="0"/>
        <v>540</v>
      </c>
      <c r="G69" s="31">
        <f t="shared" si="1"/>
        <v>22.97872340425532</v>
      </c>
    </row>
    <row r="70" spans="1:7" ht="12.75">
      <c r="A70" s="11">
        <v>69</v>
      </c>
      <c r="B70" s="10" t="s">
        <v>343</v>
      </c>
      <c r="C70" s="11">
        <v>12</v>
      </c>
      <c r="D70" s="11" t="s">
        <v>288</v>
      </c>
      <c r="E70" s="31">
        <v>140</v>
      </c>
      <c r="F70" s="31">
        <f t="shared" si="0"/>
        <v>1680</v>
      </c>
      <c r="G70" s="31">
        <f t="shared" si="1"/>
        <v>71.48936170212765</v>
      </c>
    </row>
    <row r="71" spans="1:7" ht="12.75">
      <c r="A71" s="11">
        <v>70</v>
      </c>
      <c r="B71" s="10" t="s">
        <v>344</v>
      </c>
      <c r="C71" s="11">
        <v>2</v>
      </c>
      <c r="D71" s="11" t="s">
        <v>288</v>
      </c>
      <c r="E71" s="31">
        <v>300</v>
      </c>
      <c r="F71" s="31">
        <f t="shared" si="0"/>
        <v>600</v>
      </c>
      <c r="G71" s="31">
        <f t="shared" si="1"/>
        <v>25.53191489361702</v>
      </c>
    </row>
    <row r="72" spans="1:7" ht="12.75">
      <c r="A72" s="11">
        <v>71</v>
      </c>
      <c r="B72" s="10" t="s">
        <v>345</v>
      </c>
      <c r="C72" s="11">
        <v>4</v>
      </c>
      <c r="D72" s="11" t="s">
        <v>288</v>
      </c>
      <c r="E72" s="31">
        <v>400</v>
      </c>
      <c r="F72" s="31">
        <f t="shared" si="0"/>
        <v>1600</v>
      </c>
      <c r="G72" s="31">
        <f t="shared" si="1"/>
        <v>68.08510638297872</v>
      </c>
    </row>
    <row r="73" spans="1:7" ht="12.75">
      <c r="A73" s="11">
        <v>72</v>
      </c>
      <c r="B73" s="10" t="s">
        <v>346</v>
      </c>
      <c r="C73" s="11">
        <v>2</v>
      </c>
      <c r="D73" s="11" t="s">
        <v>288</v>
      </c>
      <c r="E73" s="31">
        <v>500</v>
      </c>
      <c r="F73" s="31">
        <f t="shared" si="0"/>
        <v>1000</v>
      </c>
      <c r="G73" s="31">
        <f t="shared" si="1"/>
        <v>42.5531914893617</v>
      </c>
    </row>
    <row r="74" spans="1:7" ht="12.75">
      <c r="A74" s="11">
        <v>73</v>
      </c>
      <c r="B74" s="10" t="s">
        <v>347</v>
      </c>
      <c r="C74" s="11">
        <v>2</v>
      </c>
      <c r="D74" s="11" t="s">
        <v>288</v>
      </c>
      <c r="E74" s="31">
        <v>500</v>
      </c>
      <c r="F74" s="31">
        <f t="shared" si="0"/>
        <v>1000</v>
      </c>
      <c r="G74" s="31">
        <f t="shared" si="1"/>
        <v>42.5531914893617</v>
      </c>
    </row>
    <row r="75" spans="1:7" ht="12.75">
      <c r="A75" s="11">
        <v>74</v>
      </c>
      <c r="B75" s="10" t="s">
        <v>348</v>
      </c>
      <c r="C75" s="11">
        <v>2</v>
      </c>
      <c r="D75" s="11" t="s">
        <v>288</v>
      </c>
      <c r="E75" s="31">
        <v>350</v>
      </c>
      <c r="F75" s="31">
        <f t="shared" si="0"/>
        <v>700</v>
      </c>
      <c r="G75" s="31">
        <f t="shared" si="1"/>
        <v>29.78723404255319</v>
      </c>
    </row>
    <row r="76" spans="1:7" ht="12.75">
      <c r="A76" s="11">
        <v>75</v>
      </c>
      <c r="B76" s="10" t="s">
        <v>349</v>
      </c>
      <c r="C76" s="11">
        <v>4</v>
      </c>
      <c r="D76" s="11" t="s">
        <v>288</v>
      </c>
      <c r="E76" s="31">
        <v>300</v>
      </c>
      <c r="F76" s="31">
        <f t="shared" si="0"/>
        <v>1200</v>
      </c>
      <c r="G76" s="31">
        <f t="shared" si="1"/>
        <v>51.06382978723404</v>
      </c>
    </row>
    <row r="77" spans="1:7" ht="12.75">
      <c r="A77" s="11">
        <v>76</v>
      </c>
      <c r="B77" s="10" t="s">
        <v>305</v>
      </c>
      <c r="C77" s="11">
        <v>40</v>
      </c>
      <c r="D77" s="11" t="s">
        <v>288</v>
      </c>
      <c r="E77" s="31">
        <v>30</v>
      </c>
      <c r="F77" s="31">
        <f t="shared" si="0"/>
        <v>1200</v>
      </c>
      <c r="G77" s="31">
        <f t="shared" si="1"/>
        <v>51.06382978723404</v>
      </c>
    </row>
    <row r="78" spans="1:7" ht="12.75">
      <c r="A78" s="11">
        <v>77</v>
      </c>
      <c r="B78" s="10" t="s">
        <v>350</v>
      </c>
      <c r="C78" s="11">
        <v>4</v>
      </c>
      <c r="D78" s="11" t="s">
        <v>288</v>
      </c>
      <c r="E78" s="31">
        <v>40</v>
      </c>
      <c r="F78" s="31">
        <f t="shared" si="0"/>
        <v>160</v>
      </c>
      <c r="G78" s="31">
        <f t="shared" si="1"/>
        <v>6.808510638297872</v>
      </c>
    </row>
    <row r="79" spans="1:7" ht="12.75">
      <c r="A79" s="11">
        <v>78</v>
      </c>
      <c r="B79" s="10" t="s">
        <v>351</v>
      </c>
      <c r="C79" s="11">
        <v>4</v>
      </c>
      <c r="D79" s="11" t="s">
        <v>288</v>
      </c>
      <c r="E79" s="31">
        <v>150</v>
      </c>
      <c r="F79" s="31">
        <f t="shared" si="0"/>
        <v>600</v>
      </c>
      <c r="G79" s="31">
        <f t="shared" si="1"/>
        <v>25.53191489361702</v>
      </c>
    </row>
    <row r="80" spans="1:7" ht="12.75">
      <c r="A80" s="11">
        <v>79</v>
      </c>
      <c r="B80" s="10" t="s">
        <v>352</v>
      </c>
      <c r="C80" s="11">
        <v>2</v>
      </c>
      <c r="D80" s="11" t="s">
        <v>288</v>
      </c>
      <c r="E80" s="31">
        <v>150</v>
      </c>
      <c r="F80" s="31">
        <f t="shared" si="0"/>
        <v>300</v>
      </c>
      <c r="G80" s="31">
        <f t="shared" si="1"/>
        <v>12.76595744680851</v>
      </c>
    </row>
    <row r="81" spans="1:7" ht="12.75">
      <c r="A81" s="11">
        <v>80</v>
      </c>
      <c r="B81" s="10" t="s">
        <v>353</v>
      </c>
      <c r="C81" s="11">
        <v>30</v>
      </c>
      <c r="D81" s="11" t="s">
        <v>288</v>
      </c>
      <c r="E81" s="31">
        <v>20</v>
      </c>
      <c r="F81" s="31">
        <f t="shared" si="0"/>
        <v>600</v>
      </c>
      <c r="G81" s="31">
        <f t="shared" si="1"/>
        <v>25.53191489361702</v>
      </c>
    </row>
    <row r="82" spans="1:7" ht="12.75">
      <c r="A82" s="11">
        <v>81</v>
      </c>
      <c r="B82" s="10" t="s">
        <v>354</v>
      </c>
      <c r="C82" s="11">
        <v>30</v>
      </c>
      <c r="D82" s="11" t="s">
        <v>288</v>
      </c>
      <c r="E82" s="31">
        <v>25</v>
      </c>
      <c r="F82" s="31">
        <f t="shared" si="0"/>
        <v>750</v>
      </c>
      <c r="G82" s="31">
        <f t="shared" si="1"/>
        <v>31.914893617021278</v>
      </c>
    </row>
    <row r="83" spans="1:7" ht="12.75">
      <c r="A83" s="11">
        <v>82</v>
      </c>
      <c r="B83" s="10" t="s">
        <v>335</v>
      </c>
      <c r="C83" s="11">
        <v>12</v>
      </c>
      <c r="D83" s="11" t="s">
        <v>288</v>
      </c>
      <c r="E83" s="31">
        <v>60</v>
      </c>
      <c r="F83" s="31">
        <f t="shared" si="0"/>
        <v>720</v>
      </c>
      <c r="G83" s="31">
        <f t="shared" si="1"/>
        <v>30.638297872340427</v>
      </c>
    </row>
    <row r="84" spans="1:7" ht="12.75">
      <c r="A84" s="11">
        <v>83</v>
      </c>
      <c r="B84" s="10" t="s">
        <v>355</v>
      </c>
      <c r="C84" s="11">
        <v>4</v>
      </c>
      <c r="D84" s="11" t="s">
        <v>288</v>
      </c>
      <c r="E84" s="31">
        <v>40</v>
      </c>
      <c r="F84" s="31">
        <f t="shared" si="0"/>
        <v>160</v>
      </c>
      <c r="G84" s="31">
        <f t="shared" si="1"/>
        <v>6.808510638297872</v>
      </c>
    </row>
    <row r="85" spans="1:7" ht="12.75">
      <c r="A85" s="11">
        <v>84</v>
      </c>
      <c r="B85" s="10" t="s">
        <v>356</v>
      </c>
      <c r="C85" s="11">
        <v>30</v>
      </c>
      <c r="D85" s="11" t="s">
        <v>288</v>
      </c>
      <c r="E85" s="31">
        <v>40</v>
      </c>
      <c r="F85" s="31">
        <f t="shared" si="0"/>
        <v>1200</v>
      </c>
      <c r="G85" s="31">
        <f t="shared" si="1"/>
        <v>51.06382978723404</v>
      </c>
    </row>
    <row r="86" spans="1:7" ht="12.75">
      <c r="A86" s="11">
        <v>85</v>
      </c>
      <c r="B86" s="10" t="s">
        <v>357</v>
      </c>
      <c r="C86" s="11">
        <v>30</v>
      </c>
      <c r="D86" s="11" t="s">
        <v>288</v>
      </c>
      <c r="E86" s="31">
        <v>40</v>
      </c>
      <c r="F86" s="31">
        <f t="shared" si="0"/>
        <v>1200</v>
      </c>
      <c r="G86" s="31">
        <f t="shared" si="1"/>
        <v>51.06382978723404</v>
      </c>
    </row>
    <row r="87" spans="1:7" ht="12.75">
      <c r="A87" s="11">
        <v>86</v>
      </c>
      <c r="B87" s="10" t="s">
        <v>358</v>
      </c>
      <c r="C87" s="11">
        <v>6</v>
      </c>
      <c r="D87" s="11" t="s">
        <v>288</v>
      </c>
      <c r="E87" s="31">
        <v>50</v>
      </c>
      <c r="F87" s="31">
        <f t="shared" si="0"/>
        <v>300</v>
      </c>
      <c r="G87" s="31">
        <f t="shared" si="1"/>
        <v>12.76595744680851</v>
      </c>
    </row>
    <row r="88" spans="1:7" ht="12.75">
      <c r="A88" s="11">
        <v>87</v>
      </c>
      <c r="B88" s="10" t="s">
        <v>359</v>
      </c>
      <c r="C88" s="11">
        <v>4</v>
      </c>
      <c r="D88" s="11" t="s">
        <v>288</v>
      </c>
      <c r="E88" s="31">
        <v>80</v>
      </c>
      <c r="F88" s="31">
        <f t="shared" si="0"/>
        <v>320</v>
      </c>
      <c r="G88" s="31">
        <f t="shared" si="1"/>
        <v>13.617021276595745</v>
      </c>
    </row>
    <row r="89" spans="1:7" ht="12.75">
      <c r="A89" s="11">
        <v>88</v>
      </c>
      <c r="B89" s="10" t="s">
        <v>360</v>
      </c>
      <c r="C89" s="11">
        <v>2</v>
      </c>
      <c r="D89" s="11" t="s">
        <v>288</v>
      </c>
      <c r="E89" s="31">
        <v>90</v>
      </c>
      <c r="F89" s="31">
        <f t="shared" si="0"/>
        <v>180</v>
      </c>
      <c r="G89" s="31">
        <f t="shared" si="1"/>
        <v>7.659574468085107</v>
      </c>
    </row>
    <row r="90" spans="1:7" ht="12.75">
      <c r="A90" s="11">
        <v>89</v>
      </c>
      <c r="B90" s="10" t="s">
        <v>361</v>
      </c>
      <c r="C90" s="11">
        <v>10</v>
      </c>
      <c r="D90" s="11" t="s">
        <v>288</v>
      </c>
      <c r="E90" s="31">
        <v>60</v>
      </c>
      <c r="F90" s="31">
        <f t="shared" si="0"/>
        <v>600</v>
      </c>
      <c r="G90" s="31">
        <f t="shared" si="1"/>
        <v>25.53191489361702</v>
      </c>
    </row>
    <row r="91" spans="1:7" ht="12.75">
      <c r="A91" s="11">
        <v>90</v>
      </c>
      <c r="B91" s="10" t="s">
        <v>362</v>
      </c>
      <c r="C91" s="11">
        <v>10</v>
      </c>
      <c r="D91" s="11" t="s">
        <v>288</v>
      </c>
      <c r="E91" s="31">
        <v>60</v>
      </c>
      <c r="F91" s="31">
        <f t="shared" si="0"/>
        <v>600</v>
      </c>
      <c r="G91" s="31">
        <f t="shared" si="1"/>
        <v>25.53191489361702</v>
      </c>
    </row>
    <row r="92" spans="1:7" ht="12.75">
      <c r="A92" s="11">
        <v>91</v>
      </c>
      <c r="B92" s="10" t="s">
        <v>317</v>
      </c>
      <c r="C92" s="11">
        <v>1.5</v>
      </c>
      <c r="D92" s="11" t="s">
        <v>318</v>
      </c>
      <c r="E92" s="31">
        <v>150</v>
      </c>
      <c r="F92" s="31">
        <f t="shared" si="0"/>
        <v>225</v>
      </c>
      <c r="G92" s="31">
        <f t="shared" si="1"/>
        <v>9.574468085106384</v>
      </c>
    </row>
    <row r="93" spans="1:7" ht="12.75">
      <c r="A93" s="11">
        <v>92</v>
      </c>
      <c r="B93" s="10" t="s">
        <v>320</v>
      </c>
      <c r="C93" s="11">
        <v>1</v>
      </c>
      <c r="D93" s="11" t="s">
        <v>288</v>
      </c>
      <c r="E93" s="31">
        <v>300</v>
      </c>
      <c r="F93" s="31">
        <f t="shared" si="0"/>
        <v>300</v>
      </c>
      <c r="G93" s="31">
        <f t="shared" si="1"/>
        <v>12.76595744680851</v>
      </c>
    </row>
    <row r="94" spans="1:7" ht="12.75">
      <c r="A94" s="11">
        <v>93</v>
      </c>
      <c r="B94" s="10" t="s">
        <v>26</v>
      </c>
      <c r="C94" s="11">
        <v>5</v>
      </c>
      <c r="D94" s="11" t="s">
        <v>288</v>
      </c>
      <c r="E94" s="31">
        <v>20</v>
      </c>
      <c r="F94" s="31">
        <f t="shared" si="0"/>
        <v>100</v>
      </c>
      <c r="G94" s="31">
        <f t="shared" si="1"/>
        <v>4.25531914893617</v>
      </c>
    </row>
    <row r="95" spans="1:7" ht="12.75">
      <c r="A95" s="11">
        <v>94</v>
      </c>
      <c r="B95" s="10" t="s">
        <v>363</v>
      </c>
      <c r="C95" s="11">
        <v>1</v>
      </c>
      <c r="D95" s="11" t="s">
        <v>288</v>
      </c>
      <c r="E95" s="31">
        <v>230</v>
      </c>
      <c r="F95" s="31">
        <f t="shared" si="0"/>
        <v>230</v>
      </c>
      <c r="G95" s="31">
        <f t="shared" si="1"/>
        <v>9.787234042553191</v>
      </c>
    </row>
    <row r="96" spans="1:7" ht="12.75">
      <c r="A96" s="11">
        <v>95</v>
      </c>
      <c r="B96" s="10" t="s">
        <v>364</v>
      </c>
      <c r="C96" s="11">
        <v>1</v>
      </c>
      <c r="D96" s="11" t="s">
        <v>288</v>
      </c>
      <c r="E96" s="31">
        <v>120</v>
      </c>
      <c r="F96" s="31">
        <f t="shared" si="0"/>
        <v>120</v>
      </c>
      <c r="G96" s="31">
        <f t="shared" si="1"/>
        <v>5.1063829787234045</v>
      </c>
    </row>
    <row r="97" spans="1:7" ht="12.75">
      <c r="A97" s="11">
        <v>96</v>
      </c>
      <c r="B97" s="10" t="s">
        <v>365</v>
      </c>
      <c r="C97" s="11">
        <v>32</v>
      </c>
      <c r="D97" s="11" t="s">
        <v>289</v>
      </c>
      <c r="E97" s="31">
        <v>205</v>
      </c>
      <c r="F97" s="31">
        <f t="shared" si="0"/>
        <v>6560</v>
      </c>
      <c r="G97" s="31">
        <f t="shared" si="1"/>
        <v>279.1489361702128</v>
      </c>
    </row>
    <row r="98" spans="1:7" ht="12.75">
      <c r="A98" s="11">
        <v>97</v>
      </c>
      <c r="B98" s="10" t="s">
        <v>366</v>
      </c>
      <c r="C98" s="11">
        <v>45</v>
      </c>
      <c r="D98" s="11" t="s">
        <v>289</v>
      </c>
      <c r="E98" s="31">
        <v>90</v>
      </c>
      <c r="F98" s="31">
        <f t="shared" si="0"/>
        <v>4050</v>
      </c>
      <c r="G98" s="31">
        <f t="shared" si="1"/>
        <v>172.3404255319149</v>
      </c>
    </row>
    <row r="99" spans="1:7" ht="12.75">
      <c r="A99" s="11">
        <v>98</v>
      </c>
      <c r="B99" s="10" t="s">
        <v>367</v>
      </c>
      <c r="C99" s="11">
        <v>20</v>
      </c>
      <c r="D99" s="11" t="s">
        <v>288</v>
      </c>
      <c r="E99" s="31">
        <v>20</v>
      </c>
      <c r="F99" s="31">
        <f t="shared" si="0"/>
        <v>400</v>
      </c>
      <c r="G99" s="31">
        <f t="shared" si="1"/>
        <v>17.02127659574468</v>
      </c>
    </row>
    <row r="100" spans="1:7" ht="12.75">
      <c r="A100" s="11">
        <v>99</v>
      </c>
      <c r="B100" s="10" t="s">
        <v>368</v>
      </c>
      <c r="C100" s="11">
        <v>7</v>
      </c>
      <c r="D100" s="11" t="s">
        <v>288</v>
      </c>
      <c r="E100" s="31">
        <v>70</v>
      </c>
      <c r="F100" s="31">
        <f t="shared" si="0"/>
        <v>490</v>
      </c>
      <c r="G100" s="31">
        <f t="shared" si="1"/>
        <v>20.851063829787233</v>
      </c>
    </row>
    <row r="101" spans="1:7" ht="12.75">
      <c r="A101" s="11">
        <v>100</v>
      </c>
      <c r="B101" s="10" t="s">
        <v>369</v>
      </c>
      <c r="C101" s="11">
        <v>6</v>
      </c>
      <c r="D101" s="11" t="s">
        <v>288</v>
      </c>
      <c r="E101" s="31">
        <v>180</v>
      </c>
      <c r="F101" s="31">
        <f t="shared" si="0"/>
        <v>1080</v>
      </c>
      <c r="G101" s="31">
        <f t="shared" si="1"/>
        <v>45.95744680851064</v>
      </c>
    </row>
    <row r="102" spans="1:7" ht="12.75">
      <c r="A102" s="11">
        <v>101</v>
      </c>
      <c r="B102" s="10" t="s">
        <v>370</v>
      </c>
      <c r="C102" s="11">
        <v>2</v>
      </c>
      <c r="D102" s="11" t="s">
        <v>288</v>
      </c>
      <c r="E102" s="31">
        <v>100</v>
      </c>
      <c r="F102" s="31">
        <f t="shared" si="0"/>
        <v>200</v>
      </c>
      <c r="G102" s="31">
        <f t="shared" si="1"/>
        <v>8.51063829787234</v>
      </c>
    </row>
    <row r="103" spans="1:7" ht="12.75">
      <c r="A103" s="11">
        <v>102</v>
      </c>
      <c r="B103" s="10" t="s">
        <v>333</v>
      </c>
      <c r="C103" s="11">
        <v>2</v>
      </c>
      <c r="D103" s="11" t="s">
        <v>288</v>
      </c>
      <c r="E103" s="31">
        <v>230</v>
      </c>
      <c r="F103" s="31">
        <f t="shared" si="0"/>
        <v>460</v>
      </c>
      <c r="G103" s="31">
        <f t="shared" si="1"/>
        <v>19.574468085106382</v>
      </c>
    </row>
    <row r="104" spans="1:7" ht="12.75">
      <c r="A104" s="11">
        <v>103</v>
      </c>
      <c r="B104" s="10" t="s">
        <v>371</v>
      </c>
      <c r="C104" s="11">
        <v>2</v>
      </c>
      <c r="D104" s="11" t="s">
        <v>288</v>
      </c>
      <c r="E104" s="31">
        <v>45</v>
      </c>
      <c r="F104" s="31">
        <f t="shared" si="0"/>
        <v>90</v>
      </c>
      <c r="G104" s="31">
        <f t="shared" si="1"/>
        <v>3.8297872340425534</v>
      </c>
    </row>
    <row r="105" spans="1:7" ht="12.75">
      <c r="A105" s="11">
        <v>104</v>
      </c>
      <c r="B105" s="10" t="s">
        <v>317</v>
      </c>
      <c r="C105" s="11">
        <v>1</v>
      </c>
      <c r="D105" s="11" t="s">
        <v>316</v>
      </c>
      <c r="E105" s="31">
        <v>160</v>
      </c>
      <c r="F105" s="31">
        <f t="shared" si="0"/>
        <v>160</v>
      </c>
      <c r="G105" s="31">
        <f t="shared" si="1"/>
        <v>6.808510638297872</v>
      </c>
    </row>
    <row r="106" spans="1:7" ht="12.75">
      <c r="A106" s="11">
        <v>105</v>
      </c>
      <c r="B106" s="10" t="s">
        <v>315</v>
      </c>
      <c r="C106" s="11">
        <v>1</v>
      </c>
      <c r="D106" s="11" t="s">
        <v>316</v>
      </c>
      <c r="E106" s="31">
        <v>500</v>
      </c>
      <c r="F106" s="31">
        <f t="shared" si="0"/>
        <v>500</v>
      </c>
      <c r="G106" s="31">
        <f t="shared" si="1"/>
        <v>21.27659574468085</v>
      </c>
    </row>
    <row r="107" spans="1:7" ht="12.75">
      <c r="A107" s="11">
        <v>106</v>
      </c>
      <c r="B107" s="10" t="s">
        <v>363</v>
      </c>
      <c r="C107" s="11">
        <v>2</v>
      </c>
      <c r="D107" s="11" t="s">
        <v>288</v>
      </c>
      <c r="E107" s="31">
        <v>160</v>
      </c>
      <c r="F107" s="31">
        <f t="shared" si="0"/>
        <v>320</v>
      </c>
      <c r="G107" s="31">
        <f t="shared" si="1"/>
        <v>13.617021276595745</v>
      </c>
    </row>
    <row r="108" spans="1:7" ht="12.75">
      <c r="A108" s="11">
        <v>107</v>
      </c>
      <c r="B108" s="10" t="s">
        <v>372</v>
      </c>
      <c r="C108" s="11">
        <v>1</v>
      </c>
      <c r="D108" s="11" t="s">
        <v>316</v>
      </c>
      <c r="E108" s="31">
        <v>30</v>
      </c>
      <c r="F108" s="31">
        <f t="shared" si="0"/>
        <v>30</v>
      </c>
      <c r="G108" s="31">
        <f t="shared" si="1"/>
        <v>1.2765957446808511</v>
      </c>
    </row>
    <row r="109" spans="1:7" ht="12.75">
      <c r="A109" s="11">
        <v>108</v>
      </c>
      <c r="B109" s="10" t="s">
        <v>373</v>
      </c>
      <c r="C109" s="11">
        <v>12</v>
      </c>
      <c r="D109" s="11" t="s">
        <v>288</v>
      </c>
      <c r="E109" s="31">
        <v>150</v>
      </c>
      <c r="F109" s="31">
        <f t="shared" si="0"/>
        <v>1800</v>
      </c>
      <c r="G109" s="31">
        <f t="shared" si="1"/>
        <v>76.59574468085107</v>
      </c>
    </row>
    <row r="110" spans="1:7" ht="12.75">
      <c r="A110" s="11">
        <v>109</v>
      </c>
      <c r="B110" s="10" t="s">
        <v>374</v>
      </c>
      <c r="C110" s="11">
        <v>4</v>
      </c>
      <c r="D110" s="11" t="s">
        <v>288</v>
      </c>
      <c r="E110" s="31">
        <v>100</v>
      </c>
      <c r="F110" s="31">
        <f t="shared" si="0"/>
        <v>400</v>
      </c>
      <c r="G110" s="31">
        <f t="shared" si="1"/>
        <v>17.02127659574468</v>
      </c>
    </row>
    <row r="111" spans="1:7" ht="12.75">
      <c r="A111" s="11">
        <v>110</v>
      </c>
      <c r="B111" s="10" t="s">
        <v>375</v>
      </c>
      <c r="C111" s="11">
        <v>6</v>
      </c>
      <c r="D111" s="11" t="s">
        <v>288</v>
      </c>
      <c r="E111" s="31">
        <v>90</v>
      </c>
      <c r="F111" s="31">
        <f t="shared" si="0"/>
        <v>540</v>
      </c>
      <c r="G111" s="31">
        <f t="shared" si="1"/>
        <v>22.97872340425532</v>
      </c>
    </row>
    <row r="112" spans="1:7" ht="12.75">
      <c r="A112" s="11">
        <v>111</v>
      </c>
      <c r="B112" s="10" t="s">
        <v>376</v>
      </c>
      <c r="C112" s="11">
        <v>18</v>
      </c>
      <c r="D112" s="11" t="s">
        <v>288</v>
      </c>
      <c r="E112" s="31">
        <v>60</v>
      </c>
      <c r="F112" s="31">
        <f t="shared" si="0"/>
        <v>1080</v>
      </c>
      <c r="G112" s="31">
        <f t="shared" si="1"/>
        <v>45.95744680851064</v>
      </c>
    </row>
    <row r="113" spans="1:7" ht="12.75">
      <c r="A113" s="11">
        <v>112</v>
      </c>
      <c r="B113" s="10" t="s">
        <v>377</v>
      </c>
      <c r="C113" s="11">
        <v>50</v>
      </c>
      <c r="D113" s="11" t="s">
        <v>288</v>
      </c>
      <c r="E113" s="31">
        <v>205</v>
      </c>
      <c r="F113" s="31">
        <f t="shared" si="0"/>
        <v>10250</v>
      </c>
      <c r="G113" s="31">
        <f t="shared" si="1"/>
        <v>436.17021276595744</v>
      </c>
    </row>
    <row r="114" spans="1:7" ht="12.75">
      <c r="A114" s="11">
        <v>113</v>
      </c>
      <c r="B114" s="10" t="s">
        <v>378</v>
      </c>
      <c r="C114" s="11">
        <v>25</v>
      </c>
      <c r="D114" s="11" t="s">
        <v>288</v>
      </c>
      <c r="E114" s="31">
        <v>50</v>
      </c>
      <c r="F114" s="31">
        <f t="shared" si="0"/>
        <v>1250</v>
      </c>
      <c r="G114" s="31">
        <f t="shared" si="1"/>
        <v>53.191489361702125</v>
      </c>
    </row>
    <row r="115" spans="1:7" ht="12.75">
      <c r="A115" s="11">
        <v>114</v>
      </c>
      <c r="B115" s="10" t="s">
        <v>379</v>
      </c>
      <c r="C115" s="11">
        <v>20</v>
      </c>
      <c r="D115" s="11" t="s">
        <v>288</v>
      </c>
      <c r="E115" s="31">
        <v>170</v>
      </c>
      <c r="F115" s="31">
        <f t="shared" si="0"/>
        <v>3400</v>
      </c>
      <c r="G115" s="31">
        <f t="shared" si="1"/>
        <v>144.68085106382978</v>
      </c>
    </row>
    <row r="116" spans="1:7" ht="12.75">
      <c r="A116" s="11">
        <v>115</v>
      </c>
      <c r="B116" s="10" t="s">
        <v>380</v>
      </c>
      <c r="C116" s="11">
        <v>20</v>
      </c>
      <c r="D116" s="11" t="s">
        <v>288</v>
      </c>
      <c r="E116" s="31">
        <v>20</v>
      </c>
      <c r="F116" s="31">
        <f t="shared" si="0"/>
        <v>400</v>
      </c>
      <c r="G116" s="31">
        <f t="shared" si="1"/>
        <v>17.02127659574468</v>
      </c>
    </row>
    <row r="117" spans="1:7" ht="12.75">
      <c r="A117" s="11">
        <v>116</v>
      </c>
      <c r="B117" s="10" t="s">
        <v>312</v>
      </c>
      <c r="C117" s="11">
        <v>400</v>
      </c>
      <c r="D117" s="11" t="s">
        <v>288</v>
      </c>
      <c r="E117" s="31">
        <v>4</v>
      </c>
      <c r="F117" s="31">
        <f t="shared" si="0"/>
        <v>1600</v>
      </c>
      <c r="G117" s="31">
        <f t="shared" si="1"/>
        <v>68.08510638297872</v>
      </c>
    </row>
    <row r="118" spans="1:7" ht="12.75">
      <c r="A118" s="11">
        <v>117</v>
      </c>
      <c r="B118" s="10" t="s">
        <v>308</v>
      </c>
      <c r="C118" s="11">
        <v>20</v>
      </c>
      <c r="D118" s="11" t="s">
        <v>288</v>
      </c>
      <c r="E118" s="31">
        <v>5</v>
      </c>
      <c r="F118" s="31">
        <f t="shared" si="0"/>
        <v>100</v>
      </c>
      <c r="G118" s="31">
        <f t="shared" si="1"/>
        <v>4.25531914893617</v>
      </c>
    </row>
    <row r="119" spans="1:7" ht="12.75">
      <c r="A119" s="11">
        <v>118</v>
      </c>
      <c r="B119" s="10" t="s">
        <v>381</v>
      </c>
      <c r="C119" s="11">
        <v>15</v>
      </c>
      <c r="D119" s="11" t="s">
        <v>288</v>
      </c>
      <c r="E119" s="31">
        <v>50</v>
      </c>
      <c r="F119" s="31">
        <f t="shared" si="0"/>
        <v>750</v>
      </c>
      <c r="G119" s="31">
        <f t="shared" si="1"/>
        <v>31.914893617021278</v>
      </c>
    </row>
    <row r="120" spans="1:7" ht="12.75">
      <c r="A120" s="11">
        <v>119</v>
      </c>
      <c r="B120" s="10" t="s">
        <v>382</v>
      </c>
      <c r="C120" s="11">
        <v>8</v>
      </c>
      <c r="D120" s="11" t="s">
        <v>288</v>
      </c>
      <c r="E120" s="31">
        <v>30</v>
      </c>
      <c r="F120" s="31">
        <f t="shared" si="0"/>
        <v>240</v>
      </c>
      <c r="G120" s="31">
        <f t="shared" si="1"/>
        <v>10.212765957446809</v>
      </c>
    </row>
    <row r="121" spans="1:7" ht="12.75">
      <c r="A121" s="11">
        <v>120</v>
      </c>
      <c r="B121" s="10" t="s">
        <v>334</v>
      </c>
      <c r="C121" s="11">
        <v>1</v>
      </c>
      <c r="D121" s="11" t="s">
        <v>288</v>
      </c>
      <c r="E121" s="31">
        <v>180</v>
      </c>
      <c r="F121" s="31">
        <f t="shared" si="0"/>
        <v>180</v>
      </c>
      <c r="G121" s="31">
        <f t="shared" si="1"/>
        <v>7.659574468085107</v>
      </c>
    </row>
    <row r="122" spans="1:7" ht="12.75">
      <c r="A122" s="11">
        <v>121</v>
      </c>
      <c r="B122" s="10" t="s">
        <v>383</v>
      </c>
      <c r="C122" s="11">
        <v>4</v>
      </c>
      <c r="D122" s="11" t="s">
        <v>288</v>
      </c>
      <c r="E122" s="31">
        <v>50</v>
      </c>
      <c r="F122" s="31">
        <f t="shared" si="0"/>
        <v>200</v>
      </c>
      <c r="G122" s="31">
        <f t="shared" si="1"/>
        <v>8.51063829787234</v>
      </c>
    </row>
    <row r="123" spans="1:7" ht="12.75">
      <c r="A123" s="11">
        <v>122</v>
      </c>
      <c r="B123" s="10" t="s">
        <v>384</v>
      </c>
      <c r="C123" s="11">
        <v>2</v>
      </c>
      <c r="D123" s="11" t="s">
        <v>288</v>
      </c>
      <c r="E123" s="31">
        <v>80</v>
      </c>
      <c r="F123" s="31">
        <f t="shared" si="0"/>
        <v>160</v>
      </c>
      <c r="G123" s="31">
        <f t="shared" si="1"/>
        <v>6.808510638297872</v>
      </c>
    </row>
    <row r="124" spans="1:7" ht="12.75">
      <c r="A124" s="11">
        <v>123</v>
      </c>
      <c r="B124" s="10" t="s">
        <v>385</v>
      </c>
      <c r="C124" s="11">
        <v>2</v>
      </c>
      <c r="D124" s="11" t="s">
        <v>288</v>
      </c>
      <c r="E124" s="31">
        <v>120</v>
      </c>
      <c r="F124" s="31">
        <f t="shared" si="0"/>
        <v>240</v>
      </c>
      <c r="G124" s="31">
        <f t="shared" si="1"/>
        <v>10.212765957446809</v>
      </c>
    </row>
    <row r="125" spans="1:7" ht="12.75">
      <c r="A125" s="11">
        <v>124</v>
      </c>
      <c r="B125" s="10" t="s">
        <v>327</v>
      </c>
      <c r="C125" s="11">
        <v>1</v>
      </c>
      <c r="D125" s="11" t="s">
        <v>288</v>
      </c>
      <c r="E125" s="31">
        <v>100</v>
      </c>
      <c r="F125" s="31">
        <f t="shared" si="0"/>
        <v>100</v>
      </c>
      <c r="G125" s="31">
        <f t="shared" si="1"/>
        <v>4.25531914893617</v>
      </c>
    </row>
    <row r="126" spans="1:7" ht="12.75">
      <c r="A126" s="11">
        <v>125</v>
      </c>
      <c r="B126" s="10" t="s">
        <v>387</v>
      </c>
      <c r="C126" s="11">
        <v>10</v>
      </c>
      <c r="D126" s="11" t="s">
        <v>288</v>
      </c>
      <c r="E126" s="31">
        <v>12</v>
      </c>
      <c r="F126" s="31">
        <f t="shared" si="0"/>
        <v>120</v>
      </c>
      <c r="G126" s="31">
        <f t="shared" si="1"/>
        <v>5.1063829787234045</v>
      </c>
    </row>
    <row r="127" spans="1:7" ht="12.75">
      <c r="A127" s="11">
        <v>126</v>
      </c>
      <c r="B127" s="10" t="s">
        <v>388</v>
      </c>
      <c r="C127" s="11">
        <v>4</v>
      </c>
      <c r="D127" s="11" t="s">
        <v>288</v>
      </c>
      <c r="E127" s="31">
        <v>10</v>
      </c>
      <c r="F127" s="31">
        <f t="shared" si="0"/>
        <v>40</v>
      </c>
      <c r="G127" s="31">
        <f t="shared" si="1"/>
        <v>1.702127659574468</v>
      </c>
    </row>
    <row r="128" spans="1:7" ht="12.75">
      <c r="A128" s="11">
        <v>127</v>
      </c>
      <c r="B128" s="10" t="s">
        <v>328</v>
      </c>
      <c r="C128" s="11">
        <v>1</v>
      </c>
      <c r="D128" s="11" t="s">
        <v>288</v>
      </c>
      <c r="E128" s="31">
        <v>400</v>
      </c>
      <c r="F128" s="31">
        <f t="shared" si="0"/>
        <v>400</v>
      </c>
      <c r="G128" s="31">
        <f t="shared" si="1"/>
        <v>17.02127659574468</v>
      </c>
    </row>
    <row r="129" spans="1:7" ht="12.75">
      <c r="A129" s="11">
        <v>128</v>
      </c>
      <c r="B129" s="10" t="s">
        <v>389</v>
      </c>
      <c r="C129" s="11">
        <v>2</v>
      </c>
      <c r="D129" s="11" t="s">
        <v>288</v>
      </c>
      <c r="E129" s="31">
        <v>25</v>
      </c>
      <c r="F129" s="31">
        <f t="shared" si="0"/>
        <v>50</v>
      </c>
      <c r="G129" s="31">
        <f t="shared" si="1"/>
        <v>2.127659574468085</v>
      </c>
    </row>
    <row r="130" spans="1:7" ht="12.75">
      <c r="A130" s="11">
        <v>129</v>
      </c>
      <c r="B130" s="10" t="s">
        <v>387</v>
      </c>
      <c r="C130" s="11">
        <v>10</v>
      </c>
      <c r="D130" s="11" t="s">
        <v>288</v>
      </c>
      <c r="E130" s="31">
        <v>8</v>
      </c>
      <c r="F130" s="31">
        <f t="shared" si="0"/>
        <v>80</v>
      </c>
      <c r="G130" s="31">
        <f t="shared" si="1"/>
        <v>3.404255319148936</v>
      </c>
    </row>
    <row r="131" spans="1:7" ht="12.75">
      <c r="A131" s="11">
        <v>130</v>
      </c>
      <c r="B131" s="10" t="s">
        <v>390</v>
      </c>
      <c r="C131" s="11">
        <v>2</v>
      </c>
      <c r="D131" s="11" t="s">
        <v>288</v>
      </c>
      <c r="E131" s="31">
        <v>65</v>
      </c>
      <c r="F131" s="31">
        <f t="shared" si="0"/>
        <v>130</v>
      </c>
      <c r="G131" s="31">
        <f t="shared" si="1"/>
        <v>5.531914893617022</v>
      </c>
    </row>
    <row r="132" spans="1:7" ht="12.75">
      <c r="A132" s="11">
        <v>131</v>
      </c>
      <c r="B132" s="10" t="s">
        <v>391</v>
      </c>
      <c r="C132" s="11">
        <v>1</v>
      </c>
      <c r="D132" s="11" t="s">
        <v>288</v>
      </c>
      <c r="E132" s="31">
        <v>70</v>
      </c>
      <c r="F132" s="31">
        <f t="shared" si="0"/>
        <v>70</v>
      </c>
      <c r="G132" s="31">
        <f t="shared" si="1"/>
        <v>2.978723404255319</v>
      </c>
    </row>
    <row r="133" spans="1:7" ht="12.75">
      <c r="A133" s="11">
        <v>132</v>
      </c>
      <c r="B133" s="10" t="s">
        <v>392</v>
      </c>
      <c r="C133" s="11">
        <v>7</v>
      </c>
      <c r="D133" s="11" t="s">
        <v>288</v>
      </c>
      <c r="E133" s="31">
        <v>300</v>
      </c>
      <c r="F133" s="31">
        <f t="shared" si="0"/>
        <v>2100</v>
      </c>
      <c r="G133" s="31">
        <f t="shared" si="1"/>
        <v>89.36170212765957</v>
      </c>
    </row>
    <row r="134" spans="1:7" ht="12.75">
      <c r="A134" s="11">
        <v>133</v>
      </c>
      <c r="B134" s="10" t="s">
        <v>393</v>
      </c>
      <c r="C134" s="11">
        <v>7</v>
      </c>
      <c r="D134" s="11" t="s">
        <v>288</v>
      </c>
      <c r="E134" s="31">
        <v>140</v>
      </c>
      <c r="F134" s="31">
        <f t="shared" si="0"/>
        <v>980</v>
      </c>
      <c r="G134" s="31">
        <f t="shared" si="1"/>
        <v>41.702127659574465</v>
      </c>
    </row>
    <row r="135" spans="1:7" ht="12.75">
      <c r="A135" s="11">
        <v>134</v>
      </c>
      <c r="B135" s="10" t="s">
        <v>394</v>
      </c>
      <c r="C135" s="11">
        <v>1</v>
      </c>
      <c r="D135" s="11" t="s">
        <v>288</v>
      </c>
      <c r="E135" s="31">
        <v>150</v>
      </c>
      <c r="F135" s="31">
        <f t="shared" si="0"/>
        <v>150</v>
      </c>
      <c r="G135" s="31">
        <f t="shared" si="1"/>
        <v>6.382978723404255</v>
      </c>
    </row>
    <row r="136" spans="1:7" ht="12.75">
      <c r="A136" s="11">
        <v>135</v>
      </c>
      <c r="B136" s="10" t="s">
        <v>395</v>
      </c>
      <c r="C136" s="11">
        <v>8</v>
      </c>
      <c r="D136" s="11" t="s">
        <v>396</v>
      </c>
      <c r="E136" s="31">
        <v>205</v>
      </c>
      <c r="F136" s="31">
        <f t="shared" si="0"/>
        <v>1640</v>
      </c>
      <c r="G136" s="31">
        <f t="shared" si="1"/>
        <v>69.7872340425532</v>
      </c>
    </row>
    <row r="137" spans="1:7" ht="12.75">
      <c r="A137" s="11">
        <v>136</v>
      </c>
      <c r="B137" s="10" t="s">
        <v>397</v>
      </c>
      <c r="C137" s="11">
        <v>6</v>
      </c>
      <c r="D137" s="11" t="s">
        <v>288</v>
      </c>
      <c r="E137" s="31">
        <v>60</v>
      </c>
      <c r="F137" s="31">
        <f t="shared" si="0"/>
        <v>360</v>
      </c>
      <c r="G137" s="31">
        <f t="shared" si="1"/>
        <v>15.319148936170214</v>
      </c>
    </row>
    <row r="138" spans="1:7" ht="12.75">
      <c r="A138" s="11">
        <v>137</v>
      </c>
      <c r="B138" s="10" t="s">
        <v>305</v>
      </c>
      <c r="C138" s="11">
        <v>6</v>
      </c>
      <c r="D138" s="11" t="s">
        <v>288</v>
      </c>
      <c r="E138" s="31">
        <v>20</v>
      </c>
      <c r="F138" s="31">
        <f t="shared" si="0"/>
        <v>120</v>
      </c>
      <c r="G138" s="31">
        <f t="shared" si="1"/>
        <v>5.1063829787234045</v>
      </c>
    </row>
    <row r="139" spans="1:7" ht="12.75">
      <c r="A139" s="11">
        <v>138</v>
      </c>
      <c r="B139" s="10" t="s">
        <v>385</v>
      </c>
      <c r="C139" s="11">
        <v>1</v>
      </c>
      <c r="D139" s="11" t="s">
        <v>288</v>
      </c>
      <c r="E139" s="31">
        <v>90</v>
      </c>
      <c r="F139" s="31">
        <f t="shared" si="0"/>
        <v>90</v>
      </c>
      <c r="G139" s="31">
        <f t="shared" si="1"/>
        <v>3.8297872340425534</v>
      </c>
    </row>
    <row r="140" spans="1:7" ht="12.75">
      <c r="A140" s="11">
        <v>139</v>
      </c>
      <c r="B140" s="10" t="s">
        <v>329</v>
      </c>
      <c r="C140" s="11">
        <v>2</v>
      </c>
      <c r="D140" s="11" t="s">
        <v>288</v>
      </c>
      <c r="E140" s="31">
        <v>20</v>
      </c>
      <c r="F140" s="31">
        <f t="shared" si="0"/>
        <v>40</v>
      </c>
      <c r="G140" s="31">
        <f t="shared" si="1"/>
        <v>1.702127659574468</v>
      </c>
    </row>
    <row r="141" spans="1:7" ht="12.75">
      <c r="A141" s="11">
        <v>140</v>
      </c>
      <c r="B141" s="10" t="s">
        <v>398</v>
      </c>
      <c r="C141" s="11">
        <v>4</v>
      </c>
      <c r="D141" s="11" t="s">
        <v>288</v>
      </c>
      <c r="E141" s="31">
        <v>50</v>
      </c>
      <c r="F141" s="31">
        <f t="shared" si="0"/>
        <v>200</v>
      </c>
      <c r="G141" s="31">
        <f t="shared" si="1"/>
        <v>8.51063829787234</v>
      </c>
    </row>
    <row r="142" spans="1:7" ht="12.75">
      <c r="A142" s="11">
        <v>141</v>
      </c>
      <c r="B142" s="10" t="s">
        <v>399</v>
      </c>
      <c r="C142" s="11">
        <v>2</v>
      </c>
      <c r="D142" s="11" t="s">
        <v>288</v>
      </c>
      <c r="E142" s="31">
        <v>80</v>
      </c>
      <c r="F142" s="31">
        <f t="shared" si="0"/>
        <v>160</v>
      </c>
      <c r="G142" s="31">
        <f t="shared" si="1"/>
        <v>6.808510638297872</v>
      </c>
    </row>
    <row r="143" spans="1:7" ht="12.75">
      <c r="A143" s="11">
        <v>142</v>
      </c>
      <c r="B143" s="10" t="s">
        <v>400</v>
      </c>
      <c r="C143" s="11">
        <v>3</v>
      </c>
      <c r="D143" s="11" t="s">
        <v>288</v>
      </c>
      <c r="E143" s="31">
        <v>35</v>
      </c>
      <c r="F143" s="31">
        <f t="shared" si="0"/>
        <v>105</v>
      </c>
      <c r="G143" s="31">
        <f t="shared" si="1"/>
        <v>4.468085106382978</v>
      </c>
    </row>
    <row r="144" spans="1:7" ht="12.75">
      <c r="A144" s="11">
        <v>143</v>
      </c>
      <c r="B144" s="10" t="s">
        <v>393</v>
      </c>
      <c r="C144" s="11">
        <v>2</v>
      </c>
      <c r="D144" s="11" t="s">
        <v>288</v>
      </c>
      <c r="E144" s="31">
        <v>15</v>
      </c>
      <c r="F144" s="31">
        <f t="shared" si="0"/>
        <v>30</v>
      </c>
      <c r="G144" s="31">
        <f t="shared" si="1"/>
        <v>1.2765957446808511</v>
      </c>
    </row>
    <row r="145" spans="1:7" ht="12.75">
      <c r="A145" s="11">
        <v>144</v>
      </c>
      <c r="B145" s="10" t="s">
        <v>401</v>
      </c>
      <c r="C145" s="11">
        <v>1</v>
      </c>
      <c r="D145" s="11" t="s">
        <v>288</v>
      </c>
      <c r="E145" s="31">
        <v>90</v>
      </c>
      <c r="F145" s="31">
        <f t="shared" si="0"/>
        <v>90</v>
      </c>
      <c r="G145" s="31">
        <f t="shared" si="1"/>
        <v>3.8297872340425534</v>
      </c>
    </row>
    <row r="146" spans="1:7" ht="12.75">
      <c r="A146" s="11">
        <v>145</v>
      </c>
      <c r="B146" s="10" t="s">
        <v>402</v>
      </c>
      <c r="C146" s="11">
        <v>2</v>
      </c>
      <c r="D146" s="11" t="s">
        <v>396</v>
      </c>
      <c r="E146" s="31">
        <v>65</v>
      </c>
      <c r="F146" s="31">
        <f t="shared" si="0"/>
        <v>130</v>
      </c>
      <c r="G146" s="31">
        <f t="shared" si="1"/>
        <v>5.531914893617022</v>
      </c>
    </row>
    <row r="147" spans="1:7" ht="12.75">
      <c r="A147" s="11">
        <v>146</v>
      </c>
      <c r="B147" s="10" t="s">
        <v>366</v>
      </c>
      <c r="C147" s="11">
        <v>4</v>
      </c>
      <c r="D147" s="11" t="s">
        <v>396</v>
      </c>
      <c r="E147" s="31">
        <v>45</v>
      </c>
      <c r="F147" s="31">
        <f t="shared" si="0"/>
        <v>180</v>
      </c>
      <c r="G147" s="31">
        <f t="shared" si="1"/>
        <v>7.659574468085107</v>
      </c>
    </row>
    <row r="148" spans="1:7" ht="12.75">
      <c r="A148" s="11">
        <v>147</v>
      </c>
      <c r="B148" s="10" t="s">
        <v>384</v>
      </c>
      <c r="C148" s="11">
        <v>2</v>
      </c>
      <c r="D148" s="11" t="s">
        <v>288</v>
      </c>
      <c r="E148" s="31">
        <v>60</v>
      </c>
      <c r="F148" s="31">
        <f t="shared" si="0"/>
        <v>120</v>
      </c>
      <c r="G148" s="31">
        <f t="shared" si="1"/>
        <v>5.1063829787234045</v>
      </c>
    </row>
    <row r="149" spans="1:7" ht="12.75">
      <c r="A149" s="11">
        <v>148</v>
      </c>
      <c r="B149" s="10" t="s">
        <v>403</v>
      </c>
      <c r="C149" s="11">
        <v>100</v>
      </c>
      <c r="D149" s="11" t="s">
        <v>396</v>
      </c>
      <c r="E149" s="31">
        <v>40</v>
      </c>
      <c r="F149" s="31">
        <f t="shared" si="0"/>
        <v>4000</v>
      </c>
      <c r="G149" s="31">
        <f t="shared" si="1"/>
        <v>170.2127659574468</v>
      </c>
    </row>
    <row r="150" spans="1:7" ht="12.75">
      <c r="A150" s="11">
        <v>149</v>
      </c>
      <c r="B150" s="10" t="s">
        <v>333</v>
      </c>
      <c r="C150" s="11">
        <v>2</v>
      </c>
      <c r="D150" s="11" t="s">
        <v>288</v>
      </c>
      <c r="E150" s="31">
        <v>180</v>
      </c>
      <c r="F150" s="31">
        <f t="shared" si="0"/>
        <v>360</v>
      </c>
      <c r="G150" s="31">
        <f t="shared" si="1"/>
        <v>15.319148936170214</v>
      </c>
    </row>
    <row r="151" spans="1:7" ht="12.75">
      <c r="A151" s="11">
        <v>150</v>
      </c>
      <c r="B151" s="10" t="s">
        <v>408</v>
      </c>
      <c r="C151" s="11">
        <v>12</v>
      </c>
      <c r="D151" s="11" t="s">
        <v>396</v>
      </c>
      <c r="E151" s="31">
        <v>65</v>
      </c>
      <c r="F151" s="31">
        <f t="shared" si="0"/>
        <v>780</v>
      </c>
      <c r="G151" s="31">
        <f t="shared" si="1"/>
        <v>33.191489361702125</v>
      </c>
    </row>
    <row r="152" spans="1:7" ht="12.75">
      <c r="A152" s="11">
        <v>151</v>
      </c>
      <c r="B152" s="10" t="s">
        <v>409</v>
      </c>
      <c r="C152" s="11">
        <v>4</v>
      </c>
      <c r="D152" s="11" t="s">
        <v>288</v>
      </c>
      <c r="E152" s="31">
        <v>8</v>
      </c>
      <c r="F152" s="31">
        <f t="shared" si="0"/>
        <v>32</v>
      </c>
      <c r="G152" s="31">
        <f t="shared" si="1"/>
        <v>1.3617021276595744</v>
      </c>
    </row>
    <row r="153" spans="1:7" ht="12.75">
      <c r="A153" s="11">
        <v>152</v>
      </c>
      <c r="B153" s="10" t="s">
        <v>387</v>
      </c>
      <c r="C153" s="11">
        <v>10</v>
      </c>
      <c r="D153" s="11" t="s">
        <v>288</v>
      </c>
      <c r="E153" s="31">
        <v>12</v>
      </c>
      <c r="F153" s="31">
        <f t="shared" si="0"/>
        <v>120</v>
      </c>
      <c r="G153" s="31">
        <f t="shared" si="1"/>
        <v>5.1063829787234045</v>
      </c>
    </row>
    <row r="154" spans="1:7" ht="12.75">
      <c r="A154" s="11">
        <v>153</v>
      </c>
      <c r="B154" s="10" t="s">
        <v>410</v>
      </c>
      <c r="C154" s="11">
        <v>5</v>
      </c>
      <c r="D154" s="11" t="s">
        <v>288</v>
      </c>
      <c r="E154" s="31">
        <v>40</v>
      </c>
      <c r="F154" s="31">
        <f t="shared" si="0"/>
        <v>200</v>
      </c>
      <c r="G154" s="31">
        <f t="shared" si="1"/>
        <v>8.51063829787234</v>
      </c>
    </row>
    <row r="155" spans="1:7" ht="12.75">
      <c r="A155" s="11">
        <v>154</v>
      </c>
      <c r="B155" s="10" t="s">
        <v>411</v>
      </c>
      <c r="C155" s="11">
        <v>1</v>
      </c>
      <c r="D155" s="11" t="s">
        <v>288</v>
      </c>
      <c r="E155" s="31">
        <v>20</v>
      </c>
      <c r="F155" s="31">
        <f t="shared" si="0"/>
        <v>20</v>
      </c>
      <c r="G155" s="31">
        <f t="shared" si="1"/>
        <v>0.851063829787234</v>
      </c>
    </row>
    <row r="156" spans="1:7" ht="12.75">
      <c r="A156" s="11">
        <v>155</v>
      </c>
      <c r="B156" s="10" t="s">
        <v>412</v>
      </c>
      <c r="C156" s="11">
        <v>20</v>
      </c>
      <c r="D156" s="11" t="s">
        <v>288</v>
      </c>
      <c r="E156" s="31">
        <v>5</v>
      </c>
      <c r="F156" s="31">
        <f t="shared" si="0"/>
        <v>100</v>
      </c>
      <c r="G156" s="31">
        <f t="shared" si="1"/>
        <v>4.25531914893617</v>
      </c>
    </row>
    <row r="157" spans="1:7" ht="12.75">
      <c r="A157" s="11">
        <v>156</v>
      </c>
      <c r="B157" s="10" t="s">
        <v>424</v>
      </c>
      <c r="C157" s="11">
        <v>1</v>
      </c>
      <c r="D157" s="11" t="s">
        <v>288</v>
      </c>
      <c r="E157" s="31">
        <v>168703.35</v>
      </c>
      <c r="F157" s="31">
        <f t="shared" si="0"/>
        <v>168703.35</v>
      </c>
      <c r="G157" s="31">
        <f>F157/25.5</f>
        <v>6615.817647058824</v>
      </c>
    </row>
    <row r="158" spans="1:7" ht="12.75">
      <c r="A158" s="11">
        <v>157</v>
      </c>
      <c r="B158" s="10" t="s">
        <v>425</v>
      </c>
      <c r="C158" s="11">
        <v>1</v>
      </c>
      <c r="D158" s="11" t="s">
        <v>288</v>
      </c>
      <c r="E158" s="31">
        <v>34426.7</v>
      </c>
      <c r="F158" s="31">
        <f aca="true" t="shared" si="2" ref="F158:F172">E158*C158</f>
        <v>34426.7</v>
      </c>
      <c r="G158" s="31">
        <f aca="true" t="shared" si="3" ref="G158:G171">F158/25.5</f>
        <v>1350.0666666666666</v>
      </c>
    </row>
    <row r="159" spans="1:7" ht="12.75">
      <c r="A159" s="11">
        <v>158</v>
      </c>
      <c r="B159" s="10" t="s">
        <v>426</v>
      </c>
      <c r="C159" s="11">
        <v>1</v>
      </c>
      <c r="D159" s="11" t="s">
        <v>288</v>
      </c>
      <c r="E159" s="31">
        <v>36304.52</v>
      </c>
      <c r="F159" s="31">
        <f t="shared" si="2"/>
        <v>36304.52</v>
      </c>
      <c r="G159" s="31">
        <f t="shared" si="3"/>
        <v>1423.7066666666665</v>
      </c>
    </row>
    <row r="160" spans="1:7" ht="12.75">
      <c r="A160" s="11">
        <v>159</v>
      </c>
      <c r="B160" s="10" t="s">
        <v>427</v>
      </c>
      <c r="C160" s="11">
        <v>2</v>
      </c>
      <c r="D160" s="11" t="s">
        <v>288</v>
      </c>
      <c r="E160" s="31">
        <f>23848.31/2</f>
        <v>11924.155</v>
      </c>
      <c r="F160" s="31">
        <f t="shared" si="2"/>
        <v>23848.31</v>
      </c>
      <c r="G160" s="31">
        <f t="shared" si="3"/>
        <v>935.2278431372549</v>
      </c>
    </row>
    <row r="161" spans="1:7" ht="12.75">
      <c r="A161" s="11">
        <v>160</v>
      </c>
      <c r="B161" s="10" t="s">
        <v>428</v>
      </c>
      <c r="C161" s="11">
        <v>1</v>
      </c>
      <c r="D161" s="11" t="s">
        <v>288</v>
      </c>
      <c r="E161" s="31">
        <v>957.32</v>
      </c>
      <c r="F161" s="31">
        <f t="shared" si="2"/>
        <v>957.32</v>
      </c>
      <c r="G161" s="31">
        <f t="shared" si="3"/>
        <v>37.54196078431373</v>
      </c>
    </row>
    <row r="162" spans="1:7" ht="12.75">
      <c r="A162" s="11">
        <v>161</v>
      </c>
      <c r="B162" s="10" t="s">
        <v>429</v>
      </c>
      <c r="C162" s="11">
        <v>1</v>
      </c>
      <c r="D162" s="11" t="s">
        <v>288</v>
      </c>
      <c r="E162" s="31">
        <v>4606.18</v>
      </c>
      <c r="F162" s="31">
        <f t="shared" si="2"/>
        <v>4606.18</v>
      </c>
      <c r="G162" s="31">
        <f t="shared" si="3"/>
        <v>180.6345098039216</v>
      </c>
    </row>
    <row r="163" spans="1:7" ht="12.75">
      <c r="A163" s="11">
        <v>162</v>
      </c>
      <c r="B163" s="10" t="s">
        <v>430</v>
      </c>
      <c r="C163" s="11">
        <v>1</v>
      </c>
      <c r="D163" s="11" t="s">
        <v>288</v>
      </c>
      <c r="E163" s="31">
        <v>4208.53</v>
      </c>
      <c r="F163" s="31">
        <f t="shared" si="2"/>
        <v>4208.53</v>
      </c>
      <c r="G163" s="31">
        <f t="shared" si="3"/>
        <v>165.04039215686274</v>
      </c>
    </row>
    <row r="164" spans="1:7" ht="12.75">
      <c r="A164" s="11">
        <v>163</v>
      </c>
      <c r="B164" s="10" t="s">
        <v>431</v>
      </c>
      <c r="C164" s="11">
        <v>1</v>
      </c>
      <c r="D164" s="11" t="s">
        <v>288</v>
      </c>
      <c r="E164" s="31">
        <v>4639.32</v>
      </c>
      <c r="F164" s="31">
        <f t="shared" si="2"/>
        <v>4639.32</v>
      </c>
      <c r="G164" s="31">
        <f t="shared" si="3"/>
        <v>181.9341176470588</v>
      </c>
    </row>
    <row r="165" spans="1:7" ht="12.75">
      <c r="A165" s="11">
        <v>164</v>
      </c>
      <c r="B165" s="10" t="s">
        <v>432</v>
      </c>
      <c r="C165" s="11">
        <v>1</v>
      </c>
      <c r="D165" s="11" t="s">
        <v>288</v>
      </c>
      <c r="E165" s="31">
        <v>4573.04</v>
      </c>
      <c r="F165" s="31">
        <f t="shared" si="2"/>
        <v>4573.04</v>
      </c>
      <c r="G165" s="31">
        <f t="shared" si="3"/>
        <v>179.33490196078432</v>
      </c>
    </row>
    <row r="166" spans="1:7" ht="12.75">
      <c r="A166" s="11">
        <v>165</v>
      </c>
      <c r="B166" s="10" t="s">
        <v>433</v>
      </c>
      <c r="C166" s="11">
        <v>2</v>
      </c>
      <c r="D166" s="11" t="s">
        <v>288</v>
      </c>
      <c r="E166" s="31">
        <f>3240.16/2</f>
        <v>1620.08</v>
      </c>
      <c r="F166" s="31">
        <f t="shared" si="2"/>
        <v>3240.16</v>
      </c>
      <c r="G166" s="31">
        <f t="shared" si="3"/>
        <v>127.06509803921568</v>
      </c>
    </row>
    <row r="167" spans="1:7" ht="12.75">
      <c r="A167" s="11">
        <v>166</v>
      </c>
      <c r="B167" s="10" t="s">
        <v>434</v>
      </c>
      <c r="C167" s="11">
        <v>1</v>
      </c>
      <c r="D167" s="11" t="s">
        <v>288</v>
      </c>
      <c r="E167" s="31">
        <v>4142.25</v>
      </c>
      <c r="F167" s="31">
        <f t="shared" si="2"/>
        <v>4142.25</v>
      </c>
      <c r="G167" s="31">
        <f t="shared" si="3"/>
        <v>162.44117647058823</v>
      </c>
    </row>
    <row r="168" spans="1:7" ht="12.75">
      <c r="A168" s="11">
        <v>167</v>
      </c>
      <c r="B168" s="10" t="s">
        <v>435</v>
      </c>
      <c r="C168" s="11">
        <v>1</v>
      </c>
      <c r="D168" s="11" t="s">
        <v>288</v>
      </c>
      <c r="E168" s="31">
        <v>3943.42</v>
      </c>
      <c r="F168" s="31">
        <f t="shared" si="2"/>
        <v>3943.42</v>
      </c>
      <c r="G168" s="31">
        <f t="shared" si="3"/>
        <v>154.64392156862746</v>
      </c>
    </row>
    <row r="169" spans="1:7" ht="12.75">
      <c r="A169" s="11">
        <v>168</v>
      </c>
      <c r="B169" s="10" t="s">
        <v>436</v>
      </c>
      <c r="C169" s="11">
        <v>1</v>
      </c>
      <c r="D169" s="11" t="s">
        <v>288</v>
      </c>
      <c r="E169" s="31">
        <v>1104.6</v>
      </c>
      <c r="F169" s="31">
        <f t="shared" si="2"/>
        <v>1104.6</v>
      </c>
      <c r="G169" s="31">
        <f t="shared" si="3"/>
        <v>43.317647058823525</v>
      </c>
    </row>
    <row r="170" spans="1:7" ht="12.75">
      <c r="A170" s="11">
        <v>169</v>
      </c>
      <c r="B170" s="10" t="s">
        <v>437</v>
      </c>
      <c r="C170" s="11">
        <v>1</v>
      </c>
      <c r="D170" s="11" t="s">
        <v>288</v>
      </c>
      <c r="E170" s="31">
        <v>2617.9</v>
      </c>
      <c r="F170" s="31">
        <f t="shared" si="2"/>
        <v>2617.9</v>
      </c>
      <c r="G170" s="31">
        <f t="shared" si="3"/>
        <v>102.66274509803922</v>
      </c>
    </row>
    <row r="171" spans="1:7" ht="12.75">
      <c r="A171" s="11">
        <v>170</v>
      </c>
      <c r="B171" s="10" t="s">
        <v>438</v>
      </c>
      <c r="C171" s="11">
        <v>1</v>
      </c>
      <c r="D171" s="11" t="s">
        <v>288</v>
      </c>
      <c r="E171" s="31">
        <v>7489.19</v>
      </c>
      <c r="F171" s="31">
        <f t="shared" si="2"/>
        <v>7489.19</v>
      </c>
      <c r="G171" s="31">
        <f t="shared" si="3"/>
        <v>293.6937254901961</v>
      </c>
    </row>
    <row r="172" spans="1:7" ht="12.75">
      <c r="A172" s="11">
        <v>171</v>
      </c>
      <c r="B172" s="10" t="s">
        <v>444</v>
      </c>
      <c r="C172" s="11">
        <v>1</v>
      </c>
      <c r="D172" s="11" t="s">
        <v>288</v>
      </c>
      <c r="E172" s="31">
        <f>26230+18305+500</f>
        <v>45035</v>
      </c>
      <c r="F172" s="31">
        <f t="shared" si="2"/>
        <v>45035</v>
      </c>
      <c r="G172" s="31">
        <f>F172/24.9</f>
        <v>1808.6345381526105</v>
      </c>
    </row>
    <row r="173" spans="1:7" ht="12.75">
      <c r="A173" s="11">
        <v>172</v>
      </c>
      <c r="B173" s="10" t="s">
        <v>447</v>
      </c>
      <c r="C173" s="11">
        <v>1</v>
      </c>
      <c r="D173" s="11" t="s">
        <v>288</v>
      </c>
      <c r="E173" s="31">
        <v>6085</v>
      </c>
      <c r="F173" s="31">
        <f>E173*C173</f>
        <v>6085</v>
      </c>
      <c r="G173" s="31">
        <f>F173/24.9</f>
        <v>244.37751004016064</v>
      </c>
    </row>
    <row r="174" spans="1:7" ht="12.75">
      <c r="A174" s="11" t="s">
        <v>9</v>
      </c>
      <c r="B174" s="10"/>
      <c r="C174" s="11"/>
      <c r="D174" s="11"/>
      <c r="E174" s="32"/>
      <c r="F174" s="33">
        <f>SUM(F2:F173)</f>
        <v>644945.0800000001</v>
      </c>
      <c r="G174" s="33">
        <f>SUM(G2:G173)</f>
        <v>26304.876812481474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B1">
      <selection activeCell="G40" sqref="G40"/>
    </sheetView>
  </sheetViews>
  <sheetFormatPr defaultColWidth="9.00390625" defaultRowHeight="12.75"/>
  <cols>
    <col min="1" max="1" width="20.875" style="1" customWidth="1"/>
    <col min="2" max="2" width="17.75390625" style="1" customWidth="1"/>
    <col min="3" max="3" width="38.625" style="1" customWidth="1"/>
    <col min="4" max="4" width="12.00390625" style="1" customWidth="1"/>
    <col min="5" max="5" width="21.75390625" style="1" customWidth="1"/>
    <col min="6" max="6" width="15.625" style="1" customWidth="1"/>
    <col min="7" max="7" width="15.00390625" style="1" customWidth="1"/>
    <col min="8" max="16384" width="9.125" style="1" customWidth="1"/>
  </cols>
  <sheetData>
    <row r="1" spans="1:7" s="2" customFormat="1" ht="12.75">
      <c r="A1" s="9" t="s">
        <v>216</v>
      </c>
      <c r="B1" s="9" t="s">
        <v>17</v>
      </c>
      <c r="C1" s="9" t="s">
        <v>3</v>
      </c>
      <c r="D1" s="9" t="s">
        <v>19</v>
      </c>
      <c r="E1" s="9" t="s">
        <v>20</v>
      </c>
      <c r="F1" s="9" t="s">
        <v>21</v>
      </c>
      <c r="G1" s="9" t="s">
        <v>22</v>
      </c>
    </row>
    <row r="2" spans="1:7" ht="12.75">
      <c r="A2" s="14">
        <v>38624</v>
      </c>
      <c r="B2" s="14" t="s">
        <v>16</v>
      </c>
      <c r="C2" s="10" t="s">
        <v>40</v>
      </c>
      <c r="D2" s="11">
        <v>1</v>
      </c>
      <c r="E2" s="7">
        <v>3300</v>
      </c>
      <c r="F2" s="7">
        <v>3300</v>
      </c>
      <c r="G2" s="7">
        <f>F2/28.4</f>
        <v>116.19718309859155</v>
      </c>
    </row>
    <row r="3" spans="1:7" ht="12.75">
      <c r="A3" s="14">
        <v>38680</v>
      </c>
      <c r="B3" s="14" t="s">
        <v>44</v>
      </c>
      <c r="C3" s="10" t="s">
        <v>47</v>
      </c>
      <c r="D3" s="11">
        <v>1</v>
      </c>
      <c r="E3" s="7">
        <v>15700</v>
      </c>
      <c r="F3" s="7">
        <f>7500+8200</f>
        <v>15700</v>
      </c>
      <c r="G3" s="7">
        <f>F3/28.84</f>
        <v>544.382801664355</v>
      </c>
    </row>
    <row r="4" spans="1:7" ht="12.75">
      <c r="A4" s="14">
        <v>38682</v>
      </c>
      <c r="B4" s="14" t="s">
        <v>16</v>
      </c>
      <c r="C4" s="10" t="s">
        <v>60</v>
      </c>
      <c r="D4" s="11">
        <v>1</v>
      </c>
      <c r="E4" s="7">
        <v>800</v>
      </c>
      <c r="F4" s="7">
        <v>800</v>
      </c>
      <c r="G4" s="7">
        <f>F4/28.84</f>
        <v>27.739251040221916</v>
      </c>
    </row>
    <row r="5" spans="1:7" ht="12.75">
      <c r="A5" s="14">
        <v>38682</v>
      </c>
      <c r="B5" s="14" t="s">
        <v>50</v>
      </c>
      <c r="C5" s="10" t="s">
        <v>59</v>
      </c>
      <c r="D5" s="11">
        <v>1</v>
      </c>
      <c r="E5" s="7">
        <v>69500</v>
      </c>
      <c r="F5" s="7">
        <f>24500+24000+21000</f>
        <v>69500</v>
      </c>
      <c r="G5" s="7">
        <f>F5/28.84</f>
        <v>2409.8474341192787</v>
      </c>
    </row>
    <row r="6" spans="1:7" ht="12.75">
      <c r="A6" s="14">
        <v>38846</v>
      </c>
      <c r="B6" s="14" t="s">
        <v>44</v>
      </c>
      <c r="C6" s="10" t="s">
        <v>78</v>
      </c>
      <c r="D6" s="11">
        <v>2</v>
      </c>
      <c r="E6" s="7">
        <v>500</v>
      </c>
      <c r="F6" s="7">
        <f aca="true" t="shared" si="0" ref="F6:F37">E6*D6</f>
        <v>1000</v>
      </c>
      <c r="G6" s="7">
        <f>F6/26.7</f>
        <v>37.453183520599254</v>
      </c>
    </row>
    <row r="7" spans="1:7" ht="12.75">
      <c r="A7" s="14">
        <v>38848</v>
      </c>
      <c r="B7" s="14" t="s">
        <v>44</v>
      </c>
      <c r="C7" s="10" t="s">
        <v>106</v>
      </c>
      <c r="D7" s="11">
        <v>1</v>
      </c>
      <c r="E7" s="7">
        <v>1500</v>
      </c>
      <c r="F7" s="7">
        <f t="shared" si="0"/>
        <v>1500</v>
      </c>
      <c r="G7" s="7">
        <f>F7/26.5</f>
        <v>56.60377358490566</v>
      </c>
    </row>
    <row r="8" spans="1:7" ht="12.75">
      <c r="A8" s="14">
        <v>38850</v>
      </c>
      <c r="B8" s="14" t="s">
        <v>44</v>
      </c>
      <c r="C8" s="10" t="s">
        <v>85</v>
      </c>
      <c r="D8" s="11">
        <v>1</v>
      </c>
      <c r="E8" s="7">
        <v>2500</v>
      </c>
      <c r="F8" s="7">
        <f t="shared" si="0"/>
        <v>2500</v>
      </c>
      <c r="G8" s="7">
        <f>F8/26.5</f>
        <v>94.33962264150944</v>
      </c>
    </row>
    <row r="9" spans="1:7" ht="12.75">
      <c r="A9" s="14">
        <v>38852</v>
      </c>
      <c r="B9" s="14" t="s">
        <v>44</v>
      </c>
      <c r="C9" s="10" t="s">
        <v>78</v>
      </c>
      <c r="D9" s="11">
        <v>1</v>
      </c>
      <c r="E9" s="7">
        <v>1000</v>
      </c>
      <c r="F9" s="7">
        <f t="shared" si="0"/>
        <v>1000</v>
      </c>
      <c r="G9" s="7">
        <f>F9/26.63</f>
        <v>37.55163349605708</v>
      </c>
    </row>
    <row r="10" spans="1:7" ht="12.75">
      <c r="A10" s="14">
        <v>38853</v>
      </c>
      <c r="B10" s="14" t="s">
        <v>44</v>
      </c>
      <c r="C10" s="10" t="s">
        <v>90</v>
      </c>
      <c r="D10" s="11">
        <v>1</v>
      </c>
      <c r="E10" s="7">
        <v>1500</v>
      </c>
      <c r="F10" s="7">
        <f t="shared" si="0"/>
        <v>1500</v>
      </c>
      <c r="G10" s="7">
        <f>F10/26.63</f>
        <v>56.32745024408562</v>
      </c>
    </row>
    <row r="11" spans="1:7" ht="12.75">
      <c r="A11" s="14">
        <v>38854</v>
      </c>
      <c r="B11" s="14" t="s">
        <v>50</v>
      </c>
      <c r="C11" s="10" t="s">
        <v>93</v>
      </c>
      <c r="D11" s="11">
        <v>1</v>
      </c>
      <c r="E11" s="7">
        <v>1500</v>
      </c>
      <c r="F11" s="7">
        <f t="shared" si="0"/>
        <v>1500</v>
      </c>
      <c r="G11" s="7">
        <f>F11/26.63</f>
        <v>56.32745024408562</v>
      </c>
    </row>
    <row r="12" spans="1:7" ht="12.75">
      <c r="A12" s="14">
        <v>38856</v>
      </c>
      <c r="B12" s="14" t="s">
        <v>50</v>
      </c>
      <c r="C12" s="10" t="s">
        <v>97</v>
      </c>
      <c r="D12" s="11">
        <v>1</v>
      </c>
      <c r="E12" s="7">
        <v>1500</v>
      </c>
      <c r="F12" s="7">
        <f t="shared" si="0"/>
        <v>1500</v>
      </c>
      <c r="G12" s="7">
        <f>F12/26.63</f>
        <v>56.32745024408562</v>
      </c>
    </row>
    <row r="13" spans="1:7" ht="12.75">
      <c r="A13" s="14">
        <v>38868</v>
      </c>
      <c r="B13" s="14" t="s">
        <v>44</v>
      </c>
      <c r="C13" s="10" t="s">
        <v>106</v>
      </c>
      <c r="D13" s="11">
        <v>2</v>
      </c>
      <c r="E13" s="7">
        <v>1000</v>
      </c>
      <c r="F13" s="7">
        <f t="shared" si="0"/>
        <v>2000</v>
      </c>
      <c r="G13" s="7">
        <f>F13/26.67</f>
        <v>74.99062617172854</v>
      </c>
    </row>
    <row r="14" spans="1:7" ht="12.75">
      <c r="A14" s="14">
        <v>38892</v>
      </c>
      <c r="B14" s="14" t="s">
        <v>44</v>
      </c>
      <c r="C14" s="10" t="s">
        <v>106</v>
      </c>
      <c r="D14" s="11">
        <v>1</v>
      </c>
      <c r="E14" s="7">
        <v>1000</v>
      </c>
      <c r="F14" s="7">
        <f t="shared" si="0"/>
        <v>1000</v>
      </c>
      <c r="G14" s="7">
        <f aca="true" t="shared" si="1" ref="G14:G24">F14/27</f>
        <v>37.03703703703704</v>
      </c>
    </row>
    <row r="15" spans="1:7" ht="12.75">
      <c r="A15" s="14">
        <v>38897</v>
      </c>
      <c r="B15" s="14" t="s">
        <v>44</v>
      </c>
      <c r="C15" s="10" t="s">
        <v>117</v>
      </c>
      <c r="D15" s="11">
        <v>1</v>
      </c>
      <c r="E15" s="7">
        <v>1700</v>
      </c>
      <c r="F15" s="7">
        <f t="shared" si="0"/>
        <v>1700</v>
      </c>
      <c r="G15" s="7">
        <f t="shared" si="1"/>
        <v>62.96296296296296</v>
      </c>
    </row>
    <row r="16" spans="1:7" ht="12.75">
      <c r="A16" s="14">
        <v>38899</v>
      </c>
      <c r="B16" s="14" t="s">
        <v>44</v>
      </c>
      <c r="C16" s="10" t="s">
        <v>106</v>
      </c>
      <c r="D16" s="11">
        <v>1</v>
      </c>
      <c r="E16" s="7">
        <v>1000</v>
      </c>
      <c r="F16" s="7">
        <f t="shared" si="0"/>
        <v>1000</v>
      </c>
      <c r="G16" s="7">
        <f t="shared" si="1"/>
        <v>37.03703703703704</v>
      </c>
    </row>
    <row r="17" spans="1:7" ht="12.75">
      <c r="A17" s="14">
        <v>38916</v>
      </c>
      <c r="B17" s="14" t="s">
        <v>44</v>
      </c>
      <c r="C17" s="10" t="s">
        <v>106</v>
      </c>
      <c r="D17" s="11">
        <v>1</v>
      </c>
      <c r="E17" s="7">
        <v>1000</v>
      </c>
      <c r="F17" s="7">
        <f t="shared" si="0"/>
        <v>1000</v>
      </c>
      <c r="G17" s="7">
        <f t="shared" si="1"/>
        <v>37.03703703703704</v>
      </c>
    </row>
    <row r="18" spans="1:7" ht="12.75">
      <c r="A18" s="14">
        <v>38917</v>
      </c>
      <c r="B18" s="14" t="s">
        <v>44</v>
      </c>
      <c r="C18" s="10" t="s">
        <v>106</v>
      </c>
      <c r="D18" s="11">
        <v>1</v>
      </c>
      <c r="E18" s="7">
        <v>3100</v>
      </c>
      <c r="F18" s="7">
        <f t="shared" si="0"/>
        <v>3100</v>
      </c>
      <c r="G18" s="7">
        <f t="shared" si="1"/>
        <v>114.81481481481481</v>
      </c>
    </row>
    <row r="19" spans="1:7" ht="12.75">
      <c r="A19" s="14">
        <v>38918</v>
      </c>
      <c r="B19" s="14" t="s">
        <v>44</v>
      </c>
      <c r="C19" s="10" t="s">
        <v>106</v>
      </c>
      <c r="D19" s="11">
        <v>1</v>
      </c>
      <c r="E19" s="7">
        <v>1500</v>
      </c>
      <c r="F19" s="7">
        <f t="shared" si="0"/>
        <v>1500</v>
      </c>
      <c r="G19" s="7">
        <f t="shared" si="1"/>
        <v>55.55555555555556</v>
      </c>
    </row>
    <row r="20" spans="1:7" ht="12.75">
      <c r="A20" s="14">
        <v>38937</v>
      </c>
      <c r="B20" s="14" t="s">
        <v>122</v>
      </c>
      <c r="C20" s="10" t="s">
        <v>106</v>
      </c>
      <c r="D20" s="11">
        <v>1</v>
      </c>
      <c r="E20" s="7">
        <v>3500</v>
      </c>
      <c r="F20" s="7">
        <f t="shared" si="0"/>
        <v>3500</v>
      </c>
      <c r="G20" s="7">
        <f t="shared" si="1"/>
        <v>129.62962962962962</v>
      </c>
    </row>
    <row r="21" spans="1:7" ht="12.75">
      <c r="A21" s="14">
        <v>38939</v>
      </c>
      <c r="B21" s="14" t="s">
        <v>44</v>
      </c>
      <c r="C21" s="10" t="s">
        <v>106</v>
      </c>
      <c r="D21" s="11">
        <v>1</v>
      </c>
      <c r="E21" s="7">
        <v>1000</v>
      </c>
      <c r="F21" s="7">
        <f t="shared" si="0"/>
        <v>1000</v>
      </c>
      <c r="G21" s="7">
        <f t="shared" si="1"/>
        <v>37.03703703703704</v>
      </c>
    </row>
    <row r="22" spans="1:7" ht="12.75">
      <c r="A22" s="14">
        <v>38939</v>
      </c>
      <c r="B22" s="14" t="s">
        <v>44</v>
      </c>
      <c r="C22" s="10" t="s">
        <v>141</v>
      </c>
      <c r="D22" s="11">
        <v>1</v>
      </c>
      <c r="E22" s="7">
        <v>4300</v>
      </c>
      <c r="F22" s="7">
        <f t="shared" si="0"/>
        <v>4300</v>
      </c>
      <c r="G22" s="7">
        <f t="shared" si="1"/>
        <v>159.25925925925927</v>
      </c>
    </row>
    <row r="23" spans="1:7" ht="12.75">
      <c r="A23" s="14">
        <v>38941</v>
      </c>
      <c r="B23" s="14" t="s">
        <v>122</v>
      </c>
      <c r="C23" s="10" t="s">
        <v>213</v>
      </c>
      <c r="D23" s="11">
        <v>1</v>
      </c>
      <c r="E23" s="7">
        <v>2300</v>
      </c>
      <c r="F23" s="7">
        <f t="shared" si="0"/>
        <v>2300</v>
      </c>
      <c r="G23" s="7">
        <f t="shared" si="1"/>
        <v>85.18518518518519</v>
      </c>
    </row>
    <row r="24" spans="1:7" ht="12.75">
      <c r="A24" s="20">
        <v>38967</v>
      </c>
      <c r="B24" s="14" t="s">
        <v>122</v>
      </c>
      <c r="C24" s="10" t="s">
        <v>106</v>
      </c>
      <c r="D24" s="11">
        <v>1</v>
      </c>
      <c r="E24" s="7">
        <v>2400</v>
      </c>
      <c r="F24" s="7">
        <f t="shared" si="0"/>
        <v>2400</v>
      </c>
      <c r="G24" s="7">
        <f t="shared" si="1"/>
        <v>88.88888888888889</v>
      </c>
    </row>
    <row r="25" spans="1:7" ht="12.75">
      <c r="A25" s="26">
        <v>38997</v>
      </c>
      <c r="B25" s="14" t="s">
        <v>44</v>
      </c>
      <c r="C25" s="10" t="s">
        <v>106</v>
      </c>
      <c r="D25" s="11">
        <v>1</v>
      </c>
      <c r="E25" s="27">
        <v>2500</v>
      </c>
      <c r="F25" s="7">
        <f t="shared" si="0"/>
        <v>2500</v>
      </c>
      <c r="G25" s="27">
        <f aca="true" t="shared" si="2" ref="G25:G35">F25/26.7</f>
        <v>93.63295880149813</v>
      </c>
    </row>
    <row r="26" spans="1:7" ht="12.75">
      <c r="A26" s="26">
        <v>38999</v>
      </c>
      <c r="B26" s="14" t="s">
        <v>44</v>
      </c>
      <c r="C26" s="10" t="s">
        <v>106</v>
      </c>
      <c r="D26" s="11">
        <v>1</v>
      </c>
      <c r="E26" s="27">
        <v>800</v>
      </c>
      <c r="F26" s="7">
        <f t="shared" si="0"/>
        <v>800</v>
      </c>
      <c r="G26" s="27">
        <f t="shared" si="2"/>
        <v>29.962546816479403</v>
      </c>
    </row>
    <row r="27" spans="1:7" ht="12.75">
      <c r="A27" s="26">
        <v>39000</v>
      </c>
      <c r="B27" s="14" t="s">
        <v>168</v>
      </c>
      <c r="C27" s="10" t="s">
        <v>106</v>
      </c>
      <c r="D27" s="11">
        <v>1</v>
      </c>
      <c r="E27" s="27">
        <v>1000</v>
      </c>
      <c r="F27" s="7">
        <f t="shared" si="0"/>
        <v>1000</v>
      </c>
      <c r="G27" s="27">
        <f t="shared" si="2"/>
        <v>37.453183520599254</v>
      </c>
    </row>
    <row r="28" spans="1:7" ht="12.75">
      <c r="A28" s="26">
        <v>39002</v>
      </c>
      <c r="B28" s="14" t="s">
        <v>44</v>
      </c>
      <c r="C28" s="10" t="s">
        <v>106</v>
      </c>
      <c r="D28" s="11">
        <v>1</v>
      </c>
      <c r="E28" s="27">
        <v>800</v>
      </c>
      <c r="F28" s="7">
        <f t="shared" si="0"/>
        <v>800</v>
      </c>
      <c r="G28" s="27">
        <f t="shared" si="2"/>
        <v>29.962546816479403</v>
      </c>
    </row>
    <row r="29" spans="1:7" ht="12.75">
      <c r="A29" s="26">
        <v>39010</v>
      </c>
      <c r="B29" s="14" t="s">
        <v>44</v>
      </c>
      <c r="C29" s="10" t="s">
        <v>106</v>
      </c>
      <c r="D29" s="11">
        <v>1</v>
      </c>
      <c r="E29" s="27">
        <v>1000</v>
      </c>
      <c r="F29" s="7">
        <f t="shared" si="0"/>
        <v>1000</v>
      </c>
      <c r="G29" s="27">
        <f t="shared" si="2"/>
        <v>37.453183520599254</v>
      </c>
    </row>
    <row r="30" spans="1:7" ht="12.75">
      <c r="A30" s="26">
        <v>39011</v>
      </c>
      <c r="B30" s="14" t="s">
        <v>44</v>
      </c>
      <c r="C30" s="10" t="s">
        <v>106</v>
      </c>
      <c r="D30" s="11">
        <v>1</v>
      </c>
      <c r="E30" s="27">
        <v>1500</v>
      </c>
      <c r="F30" s="7">
        <f t="shared" si="0"/>
        <v>1500</v>
      </c>
      <c r="G30" s="27">
        <f t="shared" si="2"/>
        <v>56.17977528089888</v>
      </c>
    </row>
    <row r="31" spans="1:7" ht="12.75">
      <c r="A31" s="26">
        <v>39018</v>
      </c>
      <c r="B31" s="14" t="s">
        <v>44</v>
      </c>
      <c r="C31" s="10" t="s">
        <v>106</v>
      </c>
      <c r="D31" s="11">
        <v>1</v>
      </c>
      <c r="E31" s="27">
        <v>1500</v>
      </c>
      <c r="F31" s="7">
        <f t="shared" si="0"/>
        <v>1500</v>
      </c>
      <c r="G31" s="27">
        <f t="shared" si="2"/>
        <v>56.17977528089888</v>
      </c>
    </row>
    <row r="32" spans="1:7" ht="12.75">
      <c r="A32" s="26">
        <v>39244</v>
      </c>
      <c r="B32" s="14" t="s">
        <v>168</v>
      </c>
      <c r="C32" s="10" t="s">
        <v>106</v>
      </c>
      <c r="D32" s="11">
        <v>1</v>
      </c>
      <c r="E32" s="27">
        <v>1000</v>
      </c>
      <c r="F32" s="7">
        <f t="shared" si="0"/>
        <v>1000</v>
      </c>
      <c r="G32" s="27">
        <f t="shared" si="2"/>
        <v>37.453183520599254</v>
      </c>
    </row>
    <row r="33" spans="1:7" ht="12.75">
      <c r="A33" s="26">
        <v>39248</v>
      </c>
      <c r="B33" s="14" t="s">
        <v>168</v>
      </c>
      <c r="C33" s="10" t="s">
        <v>106</v>
      </c>
      <c r="D33" s="11">
        <v>1</v>
      </c>
      <c r="E33" s="27">
        <v>900</v>
      </c>
      <c r="F33" s="7">
        <f t="shared" si="0"/>
        <v>900</v>
      </c>
      <c r="G33" s="27">
        <f t="shared" si="2"/>
        <v>33.70786516853933</v>
      </c>
    </row>
    <row r="34" spans="1:7" ht="12.75">
      <c r="A34" s="26">
        <v>39303</v>
      </c>
      <c r="B34" s="14" t="s">
        <v>168</v>
      </c>
      <c r="C34" s="10" t="s">
        <v>106</v>
      </c>
      <c r="D34" s="11">
        <v>1</v>
      </c>
      <c r="E34" s="27">
        <v>750</v>
      </c>
      <c r="F34" s="7">
        <f t="shared" si="0"/>
        <v>750</v>
      </c>
      <c r="G34" s="27">
        <f t="shared" si="2"/>
        <v>28.08988764044944</v>
      </c>
    </row>
    <row r="35" spans="1:7" ht="12.75">
      <c r="A35" s="26">
        <v>39303</v>
      </c>
      <c r="B35" s="14" t="s">
        <v>168</v>
      </c>
      <c r="C35" s="10" t="s">
        <v>106</v>
      </c>
      <c r="D35" s="11">
        <v>1</v>
      </c>
      <c r="E35" s="27">
        <v>1000</v>
      </c>
      <c r="F35" s="7">
        <f t="shared" si="0"/>
        <v>1000</v>
      </c>
      <c r="G35" s="27">
        <f t="shared" si="2"/>
        <v>37.453183520599254</v>
      </c>
    </row>
    <row r="36" spans="1:7" ht="12.75">
      <c r="A36" s="26">
        <v>39380</v>
      </c>
      <c r="B36" s="14" t="s">
        <v>122</v>
      </c>
      <c r="C36" s="10" t="s">
        <v>326</v>
      </c>
      <c r="D36" s="11">
        <v>1</v>
      </c>
      <c r="E36" s="27">
        <v>2150</v>
      </c>
      <c r="F36" s="7">
        <f t="shared" si="0"/>
        <v>2150</v>
      </c>
      <c r="G36" s="27">
        <f>F36/24.7</f>
        <v>87.04453441295547</v>
      </c>
    </row>
    <row r="37" spans="1:7" ht="12.75">
      <c r="A37" s="26" t="s">
        <v>418</v>
      </c>
      <c r="B37" s="14" t="s">
        <v>419</v>
      </c>
      <c r="C37" s="10" t="s">
        <v>439</v>
      </c>
      <c r="D37" s="11">
        <v>1</v>
      </c>
      <c r="E37" s="27">
        <f>1000+1000+1200+1200+1200+1200</f>
        <v>6800</v>
      </c>
      <c r="F37" s="7">
        <f t="shared" si="0"/>
        <v>6800</v>
      </c>
      <c r="G37" s="27">
        <f>F37/23.5</f>
        <v>289.36170212765956</v>
      </c>
    </row>
    <row r="38" spans="1:7" ht="12.75">
      <c r="A38" s="26"/>
      <c r="B38" s="14" t="s">
        <v>440</v>
      </c>
      <c r="C38" s="10" t="s">
        <v>441</v>
      </c>
      <c r="D38" s="11">
        <v>1</v>
      </c>
      <c r="E38" s="27">
        <v>1800</v>
      </c>
      <c r="F38" s="7">
        <f>E38*D38</f>
        <v>1800</v>
      </c>
      <c r="G38" s="27">
        <f>F38/25.5</f>
        <v>70.58823529411765</v>
      </c>
    </row>
    <row r="39" spans="1:7" s="2" customFormat="1" ht="12.75">
      <c r="A39" s="9" t="s">
        <v>11</v>
      </c>
      <c r="B39" s="14"/>
      <c r="C39" s="12"/>
      <c r="D39" s="9"/>
      <c r="E39" s="9"/>
      <c r="F39" s="6">
        <f>SUM(F2:F38)</f>
        <v>148100</v>
      </c>
      <c r="G39" s="6">
        <f>SUM(G2:G38)</f>
        <v>5337.054866236321</v>
      </c>
    </row>
    <row r="40" spans="1:7" s="2" customFormat="1" ht="12.75">
      <c r="A40" s="21"/>
      <c r="B40" s="22"/>
      <c r="C40" s="23"/>
      <c r="D40" s="21"/>
      <c r="E40" s="21"/>
      <c r="F40" s="24"/>
      <c r="G40" s="2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D50" sqref="D50:D52"/>
    </sheetView>
  </sheetViews>
  <sheetFormatPr defaultColWidth="9.00390625" defaultRowHeight="12.75"/>
  <cols>
    <col min="1" max="1" width="25.875" style="1" customWidth="1"/>
    <col min="2" max="2" width="69.00390625" style="3" customWidth="1"/>
    <col min="3" max="3" width="16.375" style="1" customWidth="1"/>
    <col min="4" max="4" width="16.75390625" style="1" customWidth="1"/>
    <col min="5" max="16384" width="9.125" style="1" customWidth="1"/>
  </cols>
  <sheetData>
    <row r="1" spans="1:4" s="2" customFormat="1" ht="12.75">
      <c r="A1" s="9" t="s">
        <v>12</v>
      </c>
      <c r="B1" s="9" t="s">
        <v>0</v>
      </c>
      <c r="C1" s="9" t="s">
        <v>1</v>
      </c>
      <c r="D1" s="9" t="s">
        <v>2</v>
      </c>
    </row>
    <row r="2" spans="1:4" ht="12.75">
      <c r="A2" s="11" t="s">
        <v>13</v>
      </c>
      <c r="B2" s="10" t="s">
        <v>4</v>
      </c>
      <c r="C2" s="7">
        <v>28400</v>
      </c>
      <c r="D2" s="7">
        <f>C2/28.4</f>
        <v>1000</v>
      </c>
    </row>
    <row r="3" spans="1:4" ht="12.75">
      <c r="A3" s="11" t="s">
        <v>15</v>
      </c>
      <c r="B3" s="10" t="s">
        <v>5</v>
      </c>
      <c r="C3" s="7">
        <f>10000</f>
        <v>10000</v>
      </c>
      <c r="D3" s="7">
        <f>C3/28.4</f>
        <v>352.11267605633805</v>
      </c>
    </row>
    <row r="4" spans="1:4" ht="12.75">
      <c r="A4" s="11" t="s">
        <v>31</v>
      </c>
      <c r="B4" s="10" t="s">
        <v>14</v>
      </c>
      <c r="C4" s="7">
        <f>28.4*3043.31</f>
        <v>86430.004</v>
      </c>
      <c r="D4" s="7">
        <v>3043.31</v>
      </c>
    </row>
    <row r="5" spans="1:4" ht="12.75">
      <c r="A5" s="14">
        <v>38655</v>
      </c>
      <c r="B5" s="10" t="s">
        <v>32</v>
      </c>
      <c r="C5" s="7">
        <v>2000</v>
      </c>
      <c r="D5" s="7">
        <f>C5/28.4</f>
        <v>70.42253521126761</v>
      </c>
    </row>
    <row r="6" spans="1:4" ht="12.75">
      <c r="A6" s="14">
        <v>38679</v>
      </c>
      <c r="B6" s="10" t="s">
        <v>51</v>
      </c>
      <c r="C6" s="7">
        <v>500</v>
      </c>
      <c r="D6" s="7">
        <f>C6/28.84</f>
        <v>17.337031900138697</v>
      </c>
    </row>
    <row r="7" spans="1:4" ht="12.75">
      <c r="A7" s="14">
        <v>38680</v>
      </c>
      <c r="B7" s="10" t="s">
        <v>49</v>
      </c>
      <c r="C7" s="7">
        <v>500</v>
      </c>
      <c r="D7" s="7">
        <f>C7/28.84</f>
        <v>17.337031900138697</v>
      </c>
    </row>
    <row r="8" spans="1:4" ht="12.75">
      <c r="A8" s="14">
        <v>38680</v>
      </c>
      <c r="B8" s="10" t="s">
        <v>52</v>
      </c>
      <c r="C8" s="7">
        <v>3000</v>
      </c>
      <c r="D8" s="7">
        <f>C8/28.84</f>
        <v>104.02219140083218</v>
      </c>
    </row>
    <row r="9" spans="1:4" ht="12.75">
      <c r="A9" s="14">
        <v>38680</v>
      </c>
      <c r="B9" s="10" t="s">
        <v>48</v>
      </c>
      <c r="C9" s="7">
        <v>5500</v>
      </c>
      <c r="D9" s="7">
        <f>C9/28.84</f>
        <v>190.70735090152567</v>
      </c>
    </row>
    <row r="10" spans="1:4" ht="12.75">
      <c r="A10" s="14" t="s">
        <v>72</v>
      </c>
      <c r="B10" s="10" t="s">
        <v>73</v>
      </c>
      <c r="C10" s="7">
        <v>16000</v>
      </c>
      <c r="D10" s="7">
        <f>C10/28.87</f>
        <v>554.2085209560097</v>
      </c>
    </row>
    <row r="11" spans="1:4" ht="12.75">
      <c r="A11" s="14" t="s">
        <v>72</v>
      </c>
      <c r="B11" s="10" t="s">
        <v>74</v>
      </c>
      <c r="C11" s="7">
        <v>72175</v>
      </c>
      <c r="D11" s="7">
        <f>C11/28.87</f>
        <v>2500</v>
      </c>
    </row>
    <row r="12" spans="1:4" ht="12.75">
      <c r="A12" s="14" t="s">
        <v>72</v>
      </c>
      <c r="B12" s="10" t="s">
        <v>109</v>
      </c>
      <c r="C12" s="7">
        <v>31757</v>
      </c>
      <c r="D12" s="7">
        <f>C12/28.87</f>
        <v>1100</v>
      </c>
    </row>
    <row r="13" spans="1:4" ht="12.75">
      <c r="A13" s="14">
        <v>38860</v>
      </c>
      <c r="B13" s="10" t="s">
        <v>100</v>
      </c>
      <c r="C13" s="7">
        <v>1000</v>
      </c>
      <c r="D13" s="7">
        <f>C13/26.67</f>
        <v>37.49531308586427</v>
      </c>
    </row>
    <row r="14" spans="1:4" ht="12.75">
      <c r="A14" s="14">
        <v>38865</v>
      </c>
      <c r="B14" s="10" t="s">
        <v>101</v>
      </c>
      <c r="C14" s="7">
        <v>7500</v>
      </c>
      <c r="D14" s="7">
        <f>C14/26.65</f>
        <v>281.42589118198873</v>
      </c>
    </row>
    <row r="15" spans="1:4" ht="12.75">
      <c r="A15" s="14">
        <v>38865</v>
      </c>
      <c r="B15" s="10" t="s">
        <v>102</v>
      </c>
      <c r="C15" s="7">
        <v>4000</v>
      </c>
      <c r="D15" s="7">
        <f>C15/26.65</f>
        <v>150.093808630394</v>
      </c>
    </row>
    <row r="16" spans="1:4" ht="12.75">
      <c r="A16" s="14">
        <v>38867</v>
      </c>
      <c r="B16" s="10" t="s">
        <v>105</v>
      </c>
      <c r="C16" s="7">
        <v>1500</v>
      </c>
      <c r="D16" s="7">
        <f>C16/26.67</f>
        <v>56.242969628796395</v>
      </c>
    </row>
    <row r="17" spans="1:4" ht="12.75">
      <c r="A17" s="14">
        <v>38871</v>
      </c>
      <c r="B17" s="10" t="s">
        <v>107</v>
      </c>
      <c r="C17" s="7">
        <v>3500</v>
      </c>
      <c r="D17" s="7">
        <f>C17/26.7</f>
        <v>131.08614232209737</v>
      </c>
    </row>
    <row r="18" spans="1:4" ht="12.75">
      <c r="A18" s="14">
        <v>38875</v>
      </c>
      <c r="B18" s="10" t="s">
        <v>108</v>
      </c>
      <c r="C18" s="7">
        <v>3500</v>
      </c>
      <c r="D18" s="7">
        <f>F112/26.67</f>
        <v>0</v>
      </c>
    </row>
    <row r="19" spans="1:4" ht="12.75">
      <c r="A19" s="14">
        <v>38876</v>
      </c>
      <c r="B19" s="10" t="s">
        <v>109</v>
      </c>
      <c r="C19" s="7">
        <f>D19*26.7</f>
        <v>102314.4</v>
      </c>
      <c r="D19" s="7">
        <f>3662+170</f>
        <v>3832</v>
      </c>
    </row>
    <row r="20" spans="1:4" ht="12.75">
      <c r="A20" s="14">
        <v>38876</v>
      </c>
      <c r="B20" s="10" t="s">
        <v>110</v>
      </c>
      <c r="C20" s="7">
        <f>D20*26.7</f>
        <v>36221.219999999994</v>
      </c>
      <c r="D20" s="7">
        <v>1356.6</v>
      </c>
    </row>
    <row r="21" spans="1:4" ht="12.75">
      <c r="A21" s="14">
        <v>38876</v>
      </c>
      <c r="B21" s="10" t="s">
        <v>112</v>
      </c>
      <c r="C21" s="7">
        <f>D21*26.7</f>
        <v>25567.92</v>
      </c>
      <c r="D21" s="7">
        <v>957.6</v>
      </c>
    </row>
    <row r="22" spans="1:4" ht="12.75">
      <c r="A22" s="14">
        <v>38876</v>
      </c>
      <c r="B22" s="10" t="s">
        <v>111</v>
      </c>
      <c r="C22" s="7">
        <f>D22*26.7</f>
        <v>40050</v>
      </c>
      <c r="D22" s="7">
        <v>1500</v>
      </c>
    </row>
    <row r="23" spans="1:4" ht="12.75">
      <c r="A23" s="14">
        <v>38896</v>
      </c>
      <c r="B23" s="10" t="s">
        <v>108</v>
      </c>
      <c r="C23" s="7">
        <v>3000</v>
      </c>
      <c r="D23" s="7">
        <v>129.63</v>
      </c>
    </row>
    <row r="24" spans="1:4" ht="12.75">
      <c r="A24" s="14">
        <v>38923</v>
      </c>
      <c r="B24" s="10" t="s">
        <v>125</v>
      </c>
      <c r="C24" s="7">
        <f aca="true" t="shared" si="0" ref="C24:C31">D24*27</f>
        <v>126036</v>
      </c>
      <c r="D24" s="7">
        <v>4668</v>
      </c>
    </row>
    <row r="25" spans="1:4" ht="12.75">
      <c r="A25" s="14">
        <v>38923</v>
      </c>
      <c r="B25" s="10" t="s">
        <v>124</v>
      </c>
      <c r="C25" s="7">
        <f t="shared" si="0"/>
        <v>109701</v>
      </c>
      <c r="D25" s="7">
        <v>4063</v>
      </c>
    </row>
    <row r="26" spans="1:4" ht="12.75">
      <c r="A26" s="14">
        <v>38923</v>
      </c>
      <c r="B26" s="10" t="s">
        <v>126</v>
      </c>
      <c r="C26" s="7">
        <f t="shared" si="0"/>
        <v>32400</v>
      </c>
      <c r="D26" s="7">
        <v>1200</v>
      </c>
    </row>
    <row r="27" spans="1:4" ht="12.75">
      <c r="A27" s="14" t="s">
        <v>133</v>
      </c>
      <c r="B27" s="10" t="s">
        <v>122</v>
      </c>
      <c r="C27" s="7">
        <f t="shared" si="0"/>
        <v>162000</v>
      </c>
      <c r="D27" s="7">
        <v>6000</v>
      </c>
    </row>
    <row r="28" spans="1:4" ht="12.75">
      <c r="A28" s="14" t="s">
        <v>133</v>
      </c>
      <c r="B28" s="10" t="s">
        <v>134</v>
      </c>
      <c r="C28" s="7">
        <f t="shared" si="0"/>
        <v>27000</v>
      </c>
      <c r="D28" s="7">
        <v>1000</v>
      </c>
    </row>
    <row r="29" spans="1:4" ht="12.75">
      <c r="A29" s="14" t="s">
        <v>133</v>
      </c>
      <c r="B29" s="10" t="s">
        <v>135</v>
      </c>
      <c r="C29" s="7">
        <f t="shared" si="0"/>
        <v>27000</v>
      </c>
      <c r="D29" s="7">
        <v>1000</v>
      </c>
    </row>
    <row r="30" spans="1:4" ht="12.75">
      <c r="A30" s="14" t="s">
        <v>133</v>
      </c>
      <c r="B30" s="10" t="s">
        <v>136</v>
      </c>
      <c r="C30" s="7">
        <f t="shared" si="0"/>
        <v>29349</v>
      </c>
      <c r="D30" s="7">
        <f>284+616+187</f>
        <v>1087</v>
      </c>
    </row>
    <row r="31" spans="1:4" ht="12.75">
      <c r="A31" s="14" t="s">
        <v>133</v>
      </c>
      <c r="B31" s="10" t="s">
        <v>217</v>
      </c>
      <c r="C31" s="7">
        <f t="shared" si="0"/>
        <v>16200</v>
      </c>
      <c r="D31" s="7">
        <v>600</v>
      </c>
    </row>
    <row r="32" spans="1:4" ht="12.75">
      <c r="A32" s="20">
        <v>38993</v>
      </c>
      <c r="B32" s="10" t="s">
        <v>196</v>
      </c>
      <c r="C32" s="7">
        <f aca="true" t="shared" si="1" ref="C32:C37">D32*26.7</f>
        <v>120630.59999999999</v>
      </c>
      <c r="D32" s="7">
        <f>3468+960+90</f>
        <v>4518</v>
      </c>
    </row>
    <row r="33" spans="1:4" ht="12.75">
      <c r="A33" s="20">
        <v>38993</v>
      </c>
      <c r="B33" s="10" t="s">
        <v>197</v>
      </c>
      <c r="C33" s="7">
        <f t="shared" si="1"/>
        <v>40050</v>
      </c>
      <c r="D33" s="7">
        <v>1500</v>
      </c>
    </row>
    <row r="34" spans="1:4" ht="12.75">
      <c r="A34" s="20">
        <v>38993</v>
      </c>
      <c r="B34" s="10" t="s">
        <v>198</v>
      </c>
      <c r="C34" s="7">
        <f t="shared" si="1"/>
        <v>40050</v>
      </c>
      <c r="D34" s="7">
        <v>1500</v>
      </c>
    </row>
    <row r="35" spans="1:4" ht="12.75">
      <c r="A35" s="20">
        <v>38993</v>
      </c>
      <c r="B35" s="10" t="s">
        <v>199</v>
      </c>
      <c r="C35" s="7">
        <f t="shared" si="1"/>
        <v>32040</v>
      </c>
      <c r="D35" s="7">
        <v>1200</v>
      </c>
    </row>
    <row r="36" spans="1:4" ht="12.75">
      <c r="A36" s="20">
        <v>38993</v>
      </c>
      <c r="B36" s="10" t="s">
        <v>200</v>
      </c>
      <c r="C36" s="7">
        <f t="shared" si="1"/>
        <v>4005</v>
      </c>
      <c r="D36" s="7">
        <v>150</v>
      </c>
    </row>
    <row r="37" spans="1:4" ht="12.75">
      <c r="A37" s="20">
        <v>38993</v>
      </c>
      <c r="B37" s="10" t="s">
        <v>201</v>
      </c>
      <c r="C37" s="7">
        <f t="shared" si="1"/>
        <v>8277</v>
      </c>
      <c r="D37" s="7">
        <v>310</v>
      </c>
    </row>
    <row r="38" spans="1:4" ht="12.75">
      <c r="A38" s="20">
        <v>39226</v>
      </c>
      <c r="B38" s="10" t="s">
        <v>219</v>
      </c>
      <c r="C38" s="7">
        <f>D38*25.7</f>
        <v>15420</v>
      </c>
      <c r="D38" s="7">
        <v>600</v>
      </c>
    </row>
    <row r="39" spans="1:4" ht="12.75">
      <c r="A39" s="20">
        <v>39226</v>
      </c>
      <c r="B39" s="10" t="s">
        <v>5</v>
      </c>
      <c r="C39" s="7">
        <v>29420</v>
      </c>
      <c r="D39" s="7">
        <f>C39/25.7</f>
        <v>1144.7470817120623</v>
      </c>
    </row>
    <row r="40" spans="1:4" ht="12.75">
      <c r="A40" s="20" t="s">
        <v>230</v>
      </c>
      <c r="B40" s="10" t="s">
        <v>231</v>
      </c>
      <c r="C40" s="7">
        <f>D40*25.5</f>
        <v>221850</v>
      </c>
      <c r="D40" s="7">
        <v>8700</v>
      </c>
    </row>
    <row r="41" spans="1:4" ht="12.75">
      <c r="A41" s="20" t="s">
        <v>246</v>
      </c>
      <c r="B41" s="10" t="s">
        <v>247</v>
      </c>
      <c r="C41" s="7">
        <f>D41*25.5</f>
        <v>94350</v>
      </c>
      <c r="D41" s="7">
        <v>3700</v>
      </c>
    </row>
    <row r="42" spans="1:4" ht="12.75">
      <c r="A42" s="20" t="s">
        <v>250</v>
      </c>
      <c r="B42" s="10" t="s">
        <v>251</v>
      </c>
      <c r="C42" s="7">
        <f>D42*25.5</f>
        <v>38250</v>
      </c>
      <c r="D42" s="7">
        <v>1500</v>
      </c>
    </row>
    <row r="43" spans="1:4" ht="12.75">
      <c r="A43" s="20" t="s">
        <v>250</v>
      </c>
      <c r="B43" s="10" t="s">
        <v>252</v>
      </c>
      <c r="C43" s="7">
        <f>D43*25.5</f>
        <v>65790</v>
      </c>
      <c r="D43" s="7">
        <f>172*15</f>
        <v>2580</v>
      </c>
    </row>
    <row r="44" spans="1:4" ht="12.75">
      <c r="A44" s="20" t="s">
        <v>404</v>
      </c>
      <c r="B44" s="10" t="s">
        <v>405</v>
      </c>
      <c r="C44" s="7">
        <f>D44*23.5</f>
        <v>76140</v>
      </c>
      <c r="D44" s="7">
        <f>36*90</f>
        <v>3240</v>
      </c>
    </row>
    <row r="45" spans="1:4" ht="12.75">
      <c r="A45" s="20" t="s">
        <v>406</v>
      </c>
      <c r="B45" s="10" t="s">
        <v>407</v>
      </c>
      <c r="C45" s="7">
        <f>D45*23.5</f>
        <v>136300</v>
      </c>
      <c r="D45" s="7">
        <v>5800</v>
      </c>
    </row>
    <row r="46" spans="1:4" ht="12.75">
      <c r="A46" s="20" t="s">
        <v>420</v>
      </c>
      <c r="B46" s="10" t="s">
        <v>421</v>
      </c>
      <c r="C46" s="7">
        <f>D46*23.5</f>
        <v>131600</v>
      </c>
      <c r="D46" s="7">
        <v>5600</v>
      </c>
    </row>
    <row r="47" spans="1:4" ht="12.75">
      <c r="A47" s="20">
        <v>39716</v>
      </c>
      <c r="B47" s="10" t="s">
        <v>442</v>
      </c>
      <c r="C47" s="7">
        <v>203083.75</v>
      </c>
      <c r="D47" s="7">
        <f>C47/25.5</f>
        <v>7964.068627450981</v>
      </c>
    </row>
    <row r="48" spans="1:4" ht="12.75">
      <c r="A48" s="20">
        <v>39739</v>
      </c>
      <c r="B48" s="10" t="s">
        <v>450</v>
      </c>
      <c r="C48" s="7">
        <v>2000</v>
      </c>
      <c r="D48" s="7">
        <f>C48/27.5</f>
        <v>72.72727272727273</v>
      </c>
    </row>
    <row r="49" spans="1:4" ht="12.75">
      <c r="A49" s="20">
        <v>39738</v>
      </c>
      <c r="B49" s="10" t="s">
        <v>451</v>
      </c>
      <c r="C49" s="7">
        <v>43500</v>
      </c>
      <c r="D49" s="7">
        <f>C49/27.5</f>
        <v>1581.8181818181818</v>
      </c>
    </row>
    <row r="50" spans="1:4" ht="12.75">
      <c r="A50" s="20">
        <v>39739</v>
      </c>
      <c r="B50" s="10" t="s">
        <v>232</v>
      </c>
      <c r="C50" s="7">
        <f>D50*27.5</f>
        <v>22000</v>
      </c>
      <c r="D50" s="7">
        <v>800</v>
      </c>
    </row>
    <row r="51" spans="1:4" ht="12.75">
      <c r="A51" s="20">
        <v>39740</v>
      </c>
      <c r="B51" s="10" t="s">
        <v>452</v>
      </c>
      <c r="C51" s="7">
        <f>D51*27.5</f>
        <v>6875</v>
      </c>
      <c r="D51" s="7">
        <v>250</v>
      </c>
    </row>
    <row r="52" spans="1:4" ht="12.75">
      <c r="A52" s="20">
        <v>39741</v>
      </c>
      <c r="B52" s="10" t="s">
        <v>446</v>
      </c>
      <c r="C52" s="7">
        <f>D52*27.5</f>
        <v>5500</v>
      </c>
      <c r="D52" s="7">
        <v>200</v>
      </c>
    </row>
    <row r="53" spans="1:4" ht="12.75">
      <c r="A53" s="9" t="s">
        <v>9</v>
      </c>
      <c r="B53" s="12"/>
      <c r="C53" s="13">
        <f>SUM(C2:C52)</f>
        <v>2351232.8940000003</v>
      </c>
      <c r="D53" s="13">
        <f>SUM(D2:D52)</f>
        <v>89910.99262688389</v>
      </c>
    </row>
    <row r="55" ht="12.75">
      <c r="C55" s="34"/>
    </row>
  </sheetData>
  <sheetProtection/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79">
      <selection activeCell="B108" sqref="B108"/>
    </sheetView>
  </sheetViews>
  <sheetFormatPr defaultColWidth="9.00390625" defaultRowHeight="12.75"/>
  <cols>
    <col min="1" max="2" width="22.00390625" style="4" customWidth="1"/>
    <col min="3" max="3" width="19.625" style="4" customWidth="1"/>
    <col min="4" max="16384" width="9.125" style="4" customWidth="1"/>
  </cols>
  <sheetData>
    <row r="1" spans="1:3" s="5" customFormat="1" ht="12.75">
      <c r="A1" s="6" t="s">
        <v>8</v>
      </c>
      <c r="B1" s="6" t="s">
        <v>6</v>
      </c>
      <c r="C1" s="6" t="s">
        <v>7</v>
      </c>
    </row>
    <row r="2" spans="1:3" s="5" customFormat="1" ht="12.75">
      <c r="A2" s="14" t="s">
        <v>256</v>
      </c>
      <c r="B2" s="7">
        <v>58000</v>
      </c>
      <c r="C2" s="7">
        <v>2000</v>
      </c>
    </row>
    <row r="3" spans="1:3" ht="12.75">
      <c r="A3" s="8">
        <v>38621</v>
      </c>
      <c r="B3" s="7">
        <v>14000</v>
      </c>
      <c r="C3" s="7">
        <f aca="true" t="shared" si="0" ref="C3:C8">B3/28.4</f>
        <v>492.9577464788733</v>
      </c>
    </row>
    <row r="4" spans="1:3" ht="12.75">
      <c r="A4" s="8">
        <v>38624</v>
      </c>
      <c r="B4" s="7">
        <v>25000</v>
      </c>
      <c r="C4" s="7">
        <f t="shared" si="0"/>
        <v>880.2816901408451</v>
      </c>
    </row>
    <row r="5" spans="1:3" ht="12.75">
      <c r="A5" s="8">
        <v>38625</v>
      </c>
      <c r="B5" s="7">
        <v>110000</v>
      </c>
      <c r="C5" s="7">
        <f t="shared" si="0"/>
        <v>3873.2394366197186</v>
      </c>
    </row>
    <row r="6" spans="1:3" ht="12.75">
      <c r="A6" s="8">
        <v>38628</v>
      </c>
      <c r="B6" s="7">
        <v>4000</v>
      </c>
      <c r="C6" s="7">
        <f t="shared" si="0"/>
        <v>140.84507042253523</v>
      </c>
    </row>
    <row r="7" spans="1:3" ht="12.75">
      <c r="A7" s="8">
        <v>38629</v>
      </c>
      <c r="B7" s="7">
        <v>45000</v>
      </c>
      <c r="C7" s="7">
        <f t="shared" si="0"/>
        <v>1584.5070422535211</v>
      </c>
    </row>
    <row r="8" spans="1:3" ht="12.75">
      <c r="A8" s="8">
        <v>38630</v>
      </c>
      <c r="B8" s="7">
        <f>6500+18000</f>
        <v>24500</v>
      </c>
      <c r="C8" s="7">
        <f t="shared" si="0"/>
        <v>862.6760563380282</v>
      </c>
    </row>
    <row r="9" spans="1:3" ht="12.75">
      <c r="A9" s="8">
        <v>38631</v>
      </c>
      <c r="B9" s="7">
        <f>C9*28.4</f>
        <v>116440</v>
      </c>
      <c r="C9" s="7">
        <v>4100</v>
      </c>
    </row>
    <row r="10" spans="1:3" ht="12.75">
      <c r="A10" s="8">
        <v>38676</v>
      </c>
      <c r="B10" s="7">
        <v>16300</v>
      </c>
      <c r="C10" s="7">
        <f>B10/28.8</f>
        <v>565.9722222222222</v>
      </c>
    </row>
    <row r="11" spans="1:3" ht="12.75">
      <c r="A11" s="8">
        <v>38676</v>
      </c>
      <c r="B11" s="7">
        <v>10500</v>
      </c>
      <c r="C11" s="7">
        <f>B11/28.8</f>
        <v>364.5833333333333</v>
      </c>
    </row>
    <row r="12" spans="1:3" ht="12.75">
      <c r="A12" s="8">
        <v>38679</v>
      </c>
      <c r="B12" s="7">
        <v>51000</v>
      </c>
      <c r="C12" s="7">
        <f>B12/28.85</f>
        <v>1767.7642980935875</v>
      </c>
    </row>
    <row r="13" spans="1:3" ht="12.75">
      <c r="A13" s="8">
        <v>38680</v>
      </c>
      <c r="B13" s="7">
        <f>12000+7500+8200+90072+4320+500+3000+200</f>
        <v>125792</v>
      </c>
      <c r="C13" s="7">
        <f>B13/28.84</f>
        <v>4361.7198335644935</v>
      </c>
    </row>
    <row r="14" spans="1:3" ht="12.75">
      <c r="A14" s="8">
        <v>38680</v>
      </c>
      <c r="B14" s="7">
        <v>45000</v>
      </c>
      <c r="C14" s="7">
        <f>B14/28.8</f>
        <v>1562.5</v>
      </c>
    </row>
    <row r="15" spans="1:3" ht="12.75">
      <c r="A15" s="8">
        <v>38680</v>
      </c>
      <c r="B15" s="7">
        <v>28800</v>
      </c>
      <c r="C15" s="7">
        <f>B15/28.84</f>
        <v>998.6130374479889</v>
      </c>
    </row>
    <row r="16" spans="1:3" ht="12.75">
      <c r="A16" s="8">
        <v>38682</v>
      </c>
      <c r="B16" s="7">
        <v>5302</v>
      </c>
      <c r="C16" s="7">
        <f>B16/28.84</f>
        <v>183.84188626907073</v>
      </c>
    </row>
    <row r="17" spans="1:3" ht="12.75">
      <c r="A17" s="8">
        <v>38682</v>
      </c>
      <c r="B17" s="7">
        <v>540000</v>
      </c>
      <c r="C17" s="7">
        <f>B17/28.87</f>
        <v>18704.537582265326</v>
      </c>
    </row>
    <row r="18" spans="1:3" ht="12.75">
      <c r="A18" s="8">
        <v>38693</v>
      </c>
      <c r="B18" s="7">
        <v>40000</v>
      </c>
      <c r="C18" s="7">
        <f>B18/28.95</f>
        <v>1381.692573402418</v>
      </c>
    </row>
    <row r="19" spans="1:3" ht="12.75">
      <c r="A19" s="8">
        <v>38696</v>
      </c>
      <c r="B19" s="7">
        <v>-59026</v>
      </c>
      <c r="C19" s="7">
        <f>B19/28.935</f>
        <v>-2039.9516156903405</v>
      </c>
    </row>
    <row r="20" spans="1:3" ht="12.75">
      <c r="A20" s="8">
        <v>38696</v>
      </c>
      <c r="B20" s="7">
        <f>3200*28.9</f>
        <v>92480</v>
      </c>
      <c r="C20" s="7">
        <f>B20/28.9</f>
        <v>3200</v>
      </c>
    </row>
    <row r="21" spans="1:3" ht="12.75">
      <c r="A21" s="8">
        <v>38846</v>
      </c>
      <c r="B21" s="7">
        <v>4000</v>
      </c>
      <c r="C21" s="7">
        <f>B21/26.7</f>
        <v>149.81273408239701</v>
      </c>
    </row>
    <row r="22" spans="1:3" ht="12.75">
      <c r="A22" s="8">
        <v>38846</v>
      </c>
      <c r="B22" s="7">
        <v>14950</v>
      </c>
      <c r="C22" s="7">
        <f>B22/26.7</f>
        <v>559.9250936329588</v>
      </c>
    </row>
    <row r="23" spans="1:3" ht="12.75">
      <c r="A23" s="8">
        <v>38847</v>
      </c>
      <c r="B23" s="7">
        <f>C23*26.5</f>
        <v>21200</v>
      </c>
      <c r="C23" s="7">
        <v>800</v>
      </c>
    </row>
    <row r="24" spans="1:3" ht="12.75">
      <c r="A24" s="8">
        <v>38848</v>
      </c>
      <c r="B24" s="7">
        <v>45000</v>
      </c>
      <c r="C24" s="7">
        <f>B24/26.7</f>
        <v>1685.3932584269664</v>
      </c>
    </row>
    <row r="25" spans="1:3" ht="12.75">
      <c r="A25" s="8">
        <v>38849</v>
      </c>
      <c r="B25" s="7">
        <v>4000</v>
      </c>
      <c r="C25" s="7">
        <f>B25/26.7</f>
        <v>149.81273408239701</v>
      </c>
    </row>
    <row r="26" spans="1:3" ht="12.75">
      <c r="A26" s="8">
        <v>38849</v>
      </c>
      <c r="B26" s="7">
        <f>C26*26.5</f>
        <v>10600</v>
      </c>
      <c r="C26" s="7">
        <v>400</v>
      </c>
    </row>
    <row r="27" spans="1:3" ht="12.75">
      <c r="A27" s="8">
        <v>38852</v>
      </c>
      <c r="B27" s="7">
        <v>30000</v>
      </c>
      <c r="C27" s="7">
        <f>B27/26.63</f>
        <v>1126.5490048817123</v>
      </c>
    </row>
    <row r="28" spans="1:3" ht="12.75">
      <c r="A28" s="8">
        <v>38852</v>
      </c>
      <c r="B28" s="7">
        <f>C28*26.5</f>
        <v>-5300</v>
      </c>
      <c r="C28" s="7">
        <v>-200</v>
      </c>
    </row>
    <row r="29" spans="1:3" ht="12.75">
      <c r="A29" s="8">
        <v>38854</v>
      </c>
      <c r="B29" s="7">
        <v>28000</v>
      </c>
      <c r="C29" s="7">
        <f>B29/26.63</f>
        <v>1051.4457378895981</v>
      </c>
    </row>
    <row r="30" spans="1:3" ht="12.75">
      <c r="A30" s="8">
        <v>38860</v>
      </c>
      <c r="B30" s="7">
        <v>16000</v>
      </c>
      <c r="C30" s="7">
        <f>B30/26.4</f>
        <v>606.0606060606061</v>
      </c>
    </row>
    <row r="31" spans="1:3" ht="12.75">
      <c r="A31" s="8">
        <v>38860</v>
      </c>
      <c r="B31" s="7">
        <v>25000</v>
      </c>
      <c r="C31" s="7">
        <f>B31/26.73</f>
        <v>935.2787130564908</v>
      </c>
    </row>
    <row r="32" spans="1:3" ht="12.75">
      <c r="A32" s="8">
        <v>38867</v>
      </c>
      <c r="B32" s="7">
        <v>26000</v>
      </c>
      <c r="C32" s="7">
        <f>B32/26.67</f>
        <v>974.8781402324709</v>
      </c>
    </row>
    <row r="33" spans="1:3" ht="12.75">
      <c r="A33" s="8">
        <v>38871</v>
      </c>
      <c r="B33" s="7">
        <v>3500</v>
      </c>
      <c r="C33" s="7">
        <f>B33/26.7</f>
        <v>131.08614232209737</v>
      </c>
    </row>
    <row r="34" spans="1:3" ht="12.75">
      <c r="A34" s="8">
        <v>38876</v>
      </c>
      <c r="B34" s="7">
        <v>177046.54</v>
      </c>
      <c r="C34" s="7">
        <v>6638.99</v>
      </c>
    </row>
    <row r="35" spans="1:3" ht="12.75">
      <c r="A35" s="8">
        <v>38892</v>
      </c>
      <c r="B35" s="7">
        <v>24924</v>
      </c>
      <c r="C35" s="7">
        <f>B35/27</f>
        <v>923.1111111111111</v>
      </c>
    </row>
    <row r="36" spans="1:3" ht="12.75">
      <c r="A36" s="8">
        <v>38892</v>
      </c>
      <c r="B36" s="7">
        <v>10000</v>
      </c>
      <c r="C36" s="7">
        <f>B36/27</f>
        <v>370.3703703703704</v>
      </c>
    </row>
    <row r="37" spans="1:3" ht="12.75">
      <c r="A37" s="8">
        <v>38896</v>
      </c>
      <c r="B37" s="7">
        <v>20000</v>
      </c>
      <c r="C37" s="7">
        <f>B37/27</f>
        <v>740.7407407407408</v>
      </c>
    </row>
    <row r="38" spans="1:3" ht="12.75">
      <c r="A38" s="8" t="s">
        <v>127</v>
      </c>
      <c r="B38" s="7">
        <f>20000+25000+30000+30000+35000</f>
        <v>140000</v>
      </c>
      <c r="C38" s="7">
        <f>B38/27</f>
        <v>5185.185185185185</v>
      </c>
    </row>
    <row r="39" spans="1:3" ht="12.75">
      <c r="A39" s="8">
        <v>38922</v>
      </c>
      <c r="B39" s="7">
        <f>199765+21000</f>
        <v>220765</v>
      </c>
      <c r="C39" s="7">
        <f>7398.7+777.78</f>
        <v>8176.48</v>
      </c>
    </row>
    <row r="40" spans="1:3" ht="12.75">
      <c r="A40" s="8">
        <v>38937</v>
      </c>
      <c r="B40" s="7">
        <v>21000</v>
      </c>
      <c r="C40" s="7">
        <f>B40/27</f>
        <v>777.7777777777778</v>
      </c>
    </row>
    <row r="41" spans="1:3" ht="12.75">
      <c r="A41" s="8">
        <v>38937</v>
      </c>
      <c r="B41" s="7">
        <v>30000</v>
      </c>
      <c r="C41" s="7">
        <f>B41/27</f>
        <v>1111.111111111111</v>
      </c>
    </row>
    <row r="42" spans="1:3" ht="12.75">
      <c r="A42" s="8">
        <v>38938</v>
      </c>
      <c r="B42" s="7">
        <v>50000</v>
      </c>
      <c r="C42" s="7">
        <v>1782.47</v>
      </c>
    </row>
    <row r="43" spans="1:3" ht="12.75">
      <c r="A43" s="8">
        <v>38941</v>
      </c>
      <c r="B43" s="7">
        <v>50000</v>
      </c>
      <c r="C43" s="7">
        <v>1782.47</v>
      </c>
    </row>
    <row r="44" spans="1:3" ht="12.75">
      <c r="A44" s="8">
        <v>38946</v>
      </c>
      <c r="B44" s="7">
        <v>38350</v>
      </c>
      <c r="C44" s="7">
        <f>B44/26.55</f>
        <v>1444.4444444444443</v>
      </c>
    </row>
    <row r="45" spans="1:3" ht="12.75">
      <c r="A45" s="8">
        <v>38948</v>
      </c>
      <c r="B45" s="7">
        <v>186605</v>
      </c>
      <c r="C45" s="7">
        <f>B45/26.7</f>
        <v>6988.951310861424</v>
      </c>
    </row>
    <row r="46" spans="1:3" ht="12.75">
      <c r="A46" s="8">
        <v>38952</v>
      </c>
      <c r="B46" s="7">
        <v>8000</v>
      </c>
      <c r="C46" s="7">
        <f>B46/26.7</f>
        <v>299.62546816479403</v>
      </c>
    </row>
    <row r="47" spans="1:3" ht="12.75">
      <c r="A47" s="8">
        <v>38956</v>
      </c>
      <c r="B47" s="7">
        <v>3000</v>
      </c>
      <c r="C47" s="7">
        <f>B47/27</f>
        <v>111.11111111111111</v>
      </c>
    </row>
    <row r="48" spans="1:3" ht="12.75">
      <c r="A48" s="8">
        <v>38956</v>
      </c>
      <c r="B48" s="7">
        <f>C48*26.6</f>
        <v>10640</v>
      </c>
      <c r="C48" s="7">
        <v>400</v>
      </c>
    </row>
    <row r="49" spans="1:3" ht="12.75">
      <c r="A49" s="8">
        <v>38956</v>
      </c>
      <c r="B49" s="7">
        <f>830+660</f>
        <v>1490</v>
      </c>
      <c r="C49" s="7">
        <f>B49/27</f>
        <v>55.18518518518518</v>
      </c>
    </row>
    <row r="50" spans="1:3" ht="12.75">
      <c r="A50" s="8">
        <v>38966</v>
      </c>
      <c r="B50" s="7">
        <v>26000</v>
      </c>
      <c r="C50" s="7">
        <f>B50/27</f>
        <v>962.9629629629629</v>
      </c>
    </row>
    <row r="51" spans="1:3" ht="12.75">
      <c r="A51" s="8">
        <v>38966</v>
      </c>
      <c r="B51" s="7">
        <v>13500</v>
      </c>
      <c r="C51" s="7">
        <v>500</v>
      </c>
    </row>
    <row r="52" spans="1:3" ht="12.75">
      <c r="A52" s="8">
        <v>38977</v>
      </c>
      <c r="B52" s="7">
        <f>C52*26.908537</f>
        <v>220650.0034</v>
      </c>
      <c r="C52" s="7">
        <v>8200</v>
      </c>
    </row>
    <row r="53" spans="1:3" ht="12.75">
      <c r="A53" s="8">
        <v>38977</v>
      </c>
      <c r="B53" s="7">
        <v>2000</v>
      </c>
      <c r="C53" s="7">
        <f>B53/27</f>
        <v>74.07407407407408</v>
      </c>
    </row>
    <row r="54" spans="1:3" ht="12.75">
      <c r="A54" s="8">
        <v>38997</v>
      </c>
      <c r="B54" s="7">
        <f>77980+2500</f>
        <v>80480</v>
      </c>
      <c r="C54" s="7">
        <f aca="true" t="shared" si="1" ref="C54:C63">B54/26.7</f>
        <v>3014.232209737828</v>
      </c>
    </row>
    <row r="55" spans="1:3" ht="12.75">
      <c r="A55" s="8">
        <v>38997</v>
      </c>
      <c r="B55" s="7">
        <v>30000</v>
      </c>
      <c r="C55" s="7">
        <f t="shared" si="1"/>
        <v>1123.5955056179776</v>
      </c>
    </row>
    <row r="56" spans="1:3" ht="12.75">
      <c r="A56" s="8">
        <v>39000</v>
      </c>
      <c r="B56" s="7">
        <v>43601.1</v>
      </c>
      <c r="C56" s="7">
        <f t="shared" si="1"/>
        <v>1633</v>
      </c>
    </row>
    <row r="57" spans="1:3" ht="12.75">
      <c r="A57" s="8">
        <v>39001</v>
      </c>
      <c r="B57" s="7">
        <v>283000</v>
      </c>
      <c r="C57" s="7">
        <f t="shared" si="1"/>
        <v>10599.250936329589</v>
      </c>
    </row>
    <row r="58" spans="1:3" ht="12.75">
      <c r="A58" s="8">
        <v>39004</v>
      </c>
      <c r="B58" s="7">
        <v>1400</v>
      </c>
      <c r="C58" s="7">
        <f t="shared" si="1"/>
        <v>52.434456928838955</v>
      </c>
    </row>
    <row r="59" spans="1:3" ht="12.75">
      <c r="A59" s="8">
        <v>39008</v>
      </c>
      <c r="B59" s="7">
        <v>20000</v>
      </c>
      <c r="C59" s="7">
        <f t="shared" si="1"/>
        <v>749.0636704119851</v>
      </c>
    </row>
    <row r="60" spans="1:3" ht="12.75">
      <c r="A60" s="8">
        <v>39011</v>
      </c>
      <c r="B60" s="7">
        <v>15000</v>
      </c>
      <c r="C60" s="7">
        <f t="shared" si="1"/>
        <v>561.7977528089888</v>
      </c>
    </row>
    <row r="61" spans="1:3" ht="12.75">
      <c r="A61" s="8">
        <v>39011</v>
      </c>
      <c r="B61" s="7">
        <v>12270</v>
      </c>
      <c r="C61" s="7">
        <f t="shared" si="1"/>
        <v>459.55056179775283</v>
      </c>
    </row>
    <row r="62" spans="1:3" ht="12.75">
      <c r="A62" s="8">
        <v>39018</v>
      </c>
      <c r="B62" s="7">
        <f>24500+220+640+200</f>
        <v>25560</v>
      </c>
      <c r="C62" s="7">
        <f t="shared" si="1"/>
        <v>957.3033707865169</v>
      </c>
    </row>
    <row r="63" spans="1:3" ht="12.75">
      <c r="A63" s="8">
        <v>38993</v>
      </c>
      <c r="B63" s="7">
        <v>7848</v>
      </c>
      <c r="C63" s="7">
        <f t="shared" si="1"/>
        <v>293.9325842696629</v>
      </c>
    </row>
    <row r="64" spans="1:3" ht="12.75">
      <c r="A64" s="8">
        <v>38993</v>
      </c>
      <c r="B64" s="7">
        <f>C64*26.7</f>
        <v>245052.6</v>
      </c>
      <c r="C64" s="7">
        <v>9178</v>
      </c>
    </row>
    <row r="65" spans="1:3" ht="12.75">
      <c r="A65" s="8">
        <v>39221</v>
      </c>
      <c r="B65" s="7">
        <v>520</v>
      </c>
      <c r="C65" s="7">
        <f>B65/25.7</f>
        <v>20.233463035019454</v>
      </c>
    </row>
    <row r="66" spans="1:3" ht="12.75">
      <c r="A66" s="8">
        <v>39226</v>
      </c>
      <c r="B66" s="7">
        <v>56610</v>
      </c>
      <c r="C66" s="7">
        <v>2202.73</v>
      </c>
    </row>
    <row r="67" spans="1:3" ht="12.75">
      <c r="A67" s="8" t="s">
        <v>230</v>
      </c>
      <c r="B67" s="7">
        <v>50000</v>
      </c>
      <c r="C67" s="7">
        <f>B67/25.5</f>
        <v>1960.7843137254902</v>
      </c>
    </row>
    <row r="68" spans="1:3" ht="12.75">
      <c r="A68" s="8" t="s">
        <v>230</v>
      </c>
      <c r="B68" s="7">
        <f>C68*25.5</f>
        <v>17850</v>
      </c>
      <c r="C68" s="7">
        <v>700</v>
      </c>
    </row>
    <row r="69" spans="1:3" ht="12.75">
      <c r="A69" s="8">
        <v>39276</v>
      </c>
      <c r="B69" s="7">
        <v>235753</v>
      </c>
      <c r="C69" s="7">
        <v>9241.86</v>
      </c>
    </row>
    <row r="70" spans="1:3" ht="12.75">
      <c r="A70" s="8">
        <v>39294</v>
      </c>
      <c r="B70" s="7">
        <v>52000</v>
      </c>
      <c r="C70" s="7">
        <f>B70/25.5</f>
        <v>2039.2156862745098</v>
      </c>
    </row>
    <row r="71" spans="1:3" ht="12.75">
      <c r="A71" s="8">
        <v>39294</v>
      </c>
      <c r="B71" s="7">
        <v>150811.66</v>
      </c>
      <c r="C71" s="7">
        <v>5801.7</v>
      </c>
    </row>
    <row r="72" spans="1:3" ht="12.75">
      <c r="A72" s="8">
        <v>39270</v>
      </c>
      <c r="B72" s="7">
        <v>126120</v>
      </c>
      <c r="C72" s="7">
        <v>4942.8</v>
      </c>
    </row>
    <row r="73" spans="1:3" ht="12.75">
      <c r="A73" s="8">
        <v>39380</v>
      </c>
      <c r="B73" s="7">
        <v>19700</v>
      </c>
      <c r="C73" s="7">
        <f>B73/24.7</f>
        <v>797.5708502024291</v>
      </c>
    </row>
    <row r="74" spans="1:3" ht="12.75">
      <c r="A74" s="8">
        <v>39381</v>
      </c>
      <c r="B74" s="7">
        <f>2600</f>
        <v>2600</v>
      </c>
      <c r="C74" s="7">
        <f>B74/24.7</f>
        <v>105.26315789473685</v>
      </c>
    </row>
    <row r="75" spans="1:3" ht="12.75">
      <c r="A75" s="8">
        <v>39384</v>
      </c>
      <c r="B75" s="7">
        <v>5000</v>
      </c>
      <c r="C75" s="7">
        <f>B75/24.7</f>
        <v>202.42914979757086</v>
      </c>
    </row>
    <row r="76" spans="1:3" ht="12.75">
      <c r="A76" s="8">
        <v>39384</v>
      </c>
      <c r="B76" s="7">
        <v>310</v>
      </c>
      <c r="C76" s="7">
        <f>B76/24.5</f>
        <v>12.653061224489797</v>
      </c>
    </row>
    <row r="77" spans="1:3" ht="12.75">
      <c r="A77" s="8">
        <v>39388</v>
      </c>
      <c r="B77" s="7">
        <v>4000</v>
      </c>
      <c r="C77" s="7">
        <f>B77/24.7</f>
        <v>161.94331983805668</v>
      </c>
    </row>
    <row r="78" spans="1:3" ht="12.75">
      <c r="A78" s="8">
        <v>39487</v>
      </c>
      <c r="B78" s="7">
        <f>4116.36+1090</f>
        <v>5206.36</v>
      </c>
      <c r="C78" s="7">
        <f>B78/24.7</f>
        <v>210.78380566801619</v>
      </c>
    </row>
    <row r="79" spans="1:3" ht="12.75">
      <c r="A79" s="8">
        <v>39506</v>
      </c>
      <c r="B79" s="7">
        <v>171207.29</v>
      </c>
      <c r="C79" s="7">
        <f>B79/23.5</f>
        <v>7285.416595744681</v>
      </c>
    </row>
    <row r="80" spans="1:3" ht="12.75">
      <c r="A80" s="8">
        <v>39506</v>
      </c>
      <c r="B80" s="7">
        <v>7000</v>
      </c>
      <c r="C80" s="7">
        <f>B80/23.5</f>
        <v>297.8723404255319</v>
      </c>
    </row>
    <row r="81" spans="1:3" ht="12.75">
      <c r="A81" s="20">
        <v>39514</v>
      </c>
      <c r="B81" s="19">
        <f>C81*23.5</f>
        <v>42300</v>
      </c>
      <c r="C81" s="19">
        <v>1800</v>
      </c>
    </row>
    <row r="82" spans="1:3" ht="12.75">
      <c r="A82" s="20">
        <v>39496</v>
      </c>
      <c r="B82" s="19">
        <v>33900</v>
      </c>
      <c r="C82" s="19">
        <f>B82/23.5</f>
        <v>1442.5531914893618</v>
      </c>
    </row>
    <row r="83" spans="1:3" ht="12.75">
      <c r="A83" s="20">
        <v>39546</v>
      </c>
      <c r="B83" s="19">
        <v>64013</v>
      </c>
      <c r="C83" s="19">
        <f>B83/23.5</f>
        <v>2723.9574468085107</v>
      </c>
    </row>
    <row r="84" spans="1:3" ht="12.75">
      <c r="A84" s="20">
        <v>39547</v>
      </c>
      <c r="B84" s="19">
        <f>C84*23.5</f>
        <v>76140</v>
      </c>
      <c r="C84" s="19">
        <f>1440+1800</f>
        <v>3240</v>
      </c>
    </row>
    <row r="85" spans="1:3" ht="12.75">
      <c r="A85" s="20">
        <v>39550</v>
      </c>
      <c r="B85" s="19">
        <v>12900</v>
      </c>
      <c r="C85" s="19">
        <f>B85/23.5</f>
        <v>548.936170212766</v>
      </c>
    </row>
    <row r="86" spans="1:3" ht="12.75">
      <c r="A86" s="20">
        <v>39550</v>
      </c>
      <c r="B86" s="7">
        <v>15740</v>
      </c>
      <c r="C86" s="7">
        <f>B86/23.45</f>
        <v>671.2153518123667</v>
      </c>
    </row>
    <row r="87" spans="1:3" ht="12.75">
      <c r="A87" s="20">
        <v>39551</v>
      </c>
      <c r="B87" s="19">
        <f>C87*23.5</f>
        <v>94000</v>
      </c>
      <c r="C87" s="19">
        <v>4000</v>
      </c>
    </row>
    <row r="88" spans="1:3" ht="12.75">
      <c r="A88" s="20" t="s">
        <v>420</v>
      </c>
      <c r="B88" s="19">
        <v>141670</v>
      </c>
      <c r="C88" s="19">
        <f>B88/23.5</f>
        <v>6028.510638297872</v>
      </c>
    </row>
    <row r="89" spans="1:3" ht="12.75">
      <c r="A89" s="20">
        <v>39556</v>
      </c>
      <c r="B89" s="19">
        <f>C89*23.5</f>
        <v>131600</v>
      </c>
      <c r="C89" s="19">
        <v>5600</v>
      </c>
    </row>
    <row r="90" spans="1:3" ht="12.75">
      <c r="A90" s="20">
        <v>39622</v>
      </c>
      <c r="B90" s="7">
        <v>16034</v>
      </c>
      <c r="C90" s="7">
        <f>B90/23.4</f>
        <v>685.2136752136753</v>
      </c>
    </row>
    <row r="91" spans="1:3" ht="12.75">
      <c r="A91" s="14">
        <v>39657</v>
      </c>
      <c r="B91" s="7">
        <v>27500</v>
      </c>
      <c r="C91" s="7">
        <f>B91/23.3</f>
        <v>1180.2575107296136</v>
      </c>
    </row>
    <row r="92" spans="1:3" ht="12.75">
      <c r="A92" s="20">
        <v>39708</v>
      </c>
      <c r="B92" s="19">
        <v>304804.79</v>
      </c>
      <c r="C92" s="19">
        <f aca="true" t="shared" si="2" ref="C92:C98">B92/25.5</f>
        <v>11953.129019607843</v>
      </c>
    </row>
    <row r="93" spans="1:3" ht="12.75">
      <c r="A93" s="20">
        <v>39712</v>
      </c>
      <c r="B93" s="19">
        <v>10460</v>
      </c>
      <c r="C93" s="19">
        <f t="shared" si="2"/>
        <v>410.19607843137254</v>
      </c>
    </row>
    <row r="94" spans="1:3" ht="12.75">
      <c r="A94" s="20">
        <v>39713</v>
      </c>
      <c r="B94" s="19">
        <v>9600</v>
      </c>
      <c r="C94" s="19">
        <f t="shared" si="2"/>
        <v>376.47058823529414</v>
      </c>
    </row>
    <row r="95" spans="1:3" ht="12.75">
      <c r="A95" s="20">
        <v>39715</v>
      </c>
      <c r="B95" s="19">
        <v>1800</v>
      </c>
      <c r="C95" s="19">
        <f t="shared" si="2"/>
        <v>70.58823529411765</v>
      </c>
    </row>
    <row r="96" spans="1:3" ht="12.75">
      <c r="A96" s="20">
        <v>39716</v>
      </c>
      <c r="B96" s="7">
        <v>203083.75</v>
      </c>
      <c r="C96" s="7">
        <f t="shared" si="2"/>
        <v>7964.068627450981</v>
      </c>
    </row>
    <row r="97" spans="1:3" ht="12.75">
      <c r="A97" s="20">
        <v>39716</v>
      </c>
      <c r="B97" s="7">
        <v>4127</v>
      </c>
      <c r="C97" s="7">
        <f t="shared" si="2"/>
        <v>161.84313725490196</v>
      </c>
    </row>
    <row r="98" spans="1:3" ht="12.75">
      <c r="A98" s="20">
        <v>39719</v>
      </c>
      <c r="B98" s="7">
        <v>3891.6</v>
      </c>
      <c r="C98" s="7">
        <f t="shared" si="2"/>
        <v>152.61176470588234</v>
      </c>
    </row>
    <row r="99" spans="1:3" ht="12.75">
      <c r="A99" s="20">
        <v>39733</v>
      </c>
      <c r="B99" s="7">
        <v>26230</v>
      </c>
      <c r="C99" s="7">
        <f>B99/24.9</f>
        <v>1053.4136546184739</v>
      </c>
    </row>
    <row r="100" spans="1:3" ht="12.75">
      <c r="A100" s="20">
        <v>39736</v>
      </c>
      <c r="B100" s="7">
        <v>3100</v>
      </c>
      <c r="C100" s="7">
        <f>B100/24.9</f>
        <v>124.4979919678715</v>
      </c>
    </row>
    <row r="101" spans="1:3" ht="12.75">
      <c r="A101" s="20">
        <v>39739</v>
      </c>
      <c r="B101" s="7">
        <v>18305</v>
      </c>
      <c r="C101" s="7">
        <f>B101/24.9</f>
        <v>735.140562248996</v>
      </c>
    </row>
    <row r="102" spans="1:3" ht="12.75">
      <c r="A102" s="20">
        <v>39742</v>
      </c>
      <c r="B102" s="7">
        <v>6085</v>
      </c>
      <c r="C102" s="7">
        <f>B102/24.9</f>
        <v>244.37751004016064</v>
      </c>
    </row>
    <row r="103" spans="1:3" ht="12.75">
      <c r="A103" s="20">
        <v>39746</v>
      </c>
      <c r="B103" s="7">
        <v>8525.5</v>
      </c>
      <c r="C103" s="7">
        <f>B103/27.5+1.9</f>
        <v>311.9181818181818</v>
      </c>
    </row>
    <row r="104" spans="1:3" ht="12.75">
      <c r="A104" s="20">
        <v>39746</v>
      </c>
      <c r="B104" s="7">
        <v>77875</v>
      </c>
      <c r="C104" s="7">
        <f>B104/27.5</f>
        <v>2831.818181818182</v>
      </c>
    </row>
    <row r="105" spans="1:3" ht="12.75">
      <c r="A105" s="20">
        <v>39774</v>
      </c>
      <c r="B105" s="7">
        <v>30242.55</v>
      </c>
      <c r="C105" s="7">
        <f>B105/27.4</f>
        <v>1103.742700729927</v>
      </c>
    </row>
    <row r="106" spans="1:3" ht="12.75">
      <c r="A106" s="20">
        <v>39787</v>
      </c>
      <c r="B106" s="7">
        <v>30000</v>
      </c>
      <c r="C106" s="7">
        <f>B106/28</f>
        <v>1071.4285714285713</v>
      </c>
    </row>
    <row r="107" spans="1:3" s="5" customFormat="1" ht="12.75">
      <c r="A107" s="6" t="s">
        <v>9</v>
      </c>
      <c r="B107" s="6">
        <f>SUM(B2:B106)</f>
        <v>5832835.7434</v>
      </c>
      <c r="C107" s="6">
        <f>SUM(C2:C106)</f>
        <v>220972.38879366423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4.75390625" style="0" customWidth="1"/>
    <col min="2" max="2" width="15.375" style="0" customWidth="1"/>
    <col min="3" max="3" width="19.625" style="0" customWidth="1"/>
    <col min="4" max="5" width="17.25390625" style="0" customWidth="1"/>
    <col min="6" max="6" width="14.375" style="0" customWidth="1"/>
    <col min="7" max="7" width="20.00390625" style="0" customWidth="1"/>
    <col min="8" max="8" width="18.125" style="0" customWidth="1"/>
    <col min="9" max="9" width="12.00390625" style="0" bestFit="1" customWidth="1"/>
  </cols>
  <sheetData>
    <row r="1" spans="1:8" ht="12.75">
      <c r="A1" s="35" t="s">
        <v>33</v>
      </c>
      <c r="B1" s="35"/>
      <c r="C1" t="s">
        <v>54</v>
      </c>
      <c r="D1" t="s">
        <v>36</v>
      </c>
      <c r="E1" t="s">
        <v>55</v>
      </c>
      <c r="F1" t="s">
        <v>37</v>
      </c>
      <c r="G1" t="s">
        <v>56</v>
      </c>
      <c r="H1" t="s">
        <v>38</v>
      </c>
    </row>
    <row r="2" spans="1:3" ht="12.75">
      <c r="A2" s="1" t="s">
        <v>34</v>
      </c>
      <c r="B2" s="1" t="s">
        <v>35</v>
      </c>
      <c r="C2" s="1"/>
    </row>
    <row r="3" spans="1:3" ht="12.75">
      <c r="A3" s="1"/>
      <c r="B3" s="1"/>
      <c r="C3" s="1"/>
    </row>
    <row r="4" spans="1:9" s="16" customFormat="1" ht="12.75">
      <c r="A4" s="15">
        <f>стройматериалы!F373+работа!C53+транспорт!F39+'Отопление водоснабж. и канализ.'!F174+Оформление!C14</f>
        <v>5832835.743800001</v>
      </c>
      <c r="B4" s="15">
        <f>стройматериалы!G373+работа!D53+транспорт!G39+'Отопление водоснабж. и канализ.'!G174+Оформление!D14</f>
        <v>220972.38496156124</v>
      </c>
      <c r="C4" s="15">
        <f>деньги!B107</f>
        <v>5832835.7434</v>
      </c>
      <c r="D4" s="15">
        <f>деньги!C107</f>
        <v>220972.38879366423</v>
      </c>
      <c r="E4" s="15">
        <f>A4-C4</f>
        <v>0.0004000011831521988</v>
      </c>
      <c r="F4" s="15">
        <f>B4-D4</f>
        <v>-0.0038321029860526323</v>
      </c>
      <c r="G4" s="15">
        <f>C4-A4</f>
        <v>-0.0004000011831521988</v>
      </c>
      <c r="H4" s="15">
        <f>D4-B4</f>
        <v>0.0038321029860526323</v>
      </c>
      <c r="I4" s="18"/>
    </row>
  </sheetData>
  <sheetProtection/>
  <mergeCells count="1">
    <mergeCell ref="A1:B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User</cp:lastModifiedBy>
  <dcterms:created xsi:type="dcterms:W3CDTF">2005-09-26T17:10:10Z</dcterms:created>
  <dcterms:modified xsi:type="dcterms:W3CDTF">2010-07-07T05:52:26Z</dcterms:modified>
  <cp:category/>
  <cp:version/>
  <cp:contentType/>
  <cp:contentStatus/>
</cp:coreProperties>
</file>